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3.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0"/>
  <workbookPr defaultThemeVersion="166925"/>
  <mc:AlternateContent xmlns:mc="http://schemas.openxmlformats.org/markup-compatibility/2006">
    <mc:Choice Requires="x15">
      <x15ac:absPath xmlns:x15ac="http://schemas.microsoft.com/office/spreadsheetml/2010/11/ac" url="/Users/johnkerkhoven/Documents/Netbeheer Nederland/Infra 2050 studie/Nucleaire variant/Laatste versie/"/>
    </mc:Choice>
  </mc:AlternateContent>
  <xr:revisionPtr revIDLastSave="0" documentId="13_ncr:1_{08283F17-A8A4-2645-8887-60745AAE49E1}" xr6:coauthVersionLast="36" xr6:coauthVersionMax="36" xr10:uidLastSave="{00000000-0000-0000-0000-000000000000}"/>
  <bookViews>
    <workbookView xWindow="0" yWindow="460" windowWidth="28800" windowHeight="16400" activeTab="2" xr2:uid="{00000000-000D-0000-FFFF-FFFF00000000}"/>
  </bookViews>
  <sheets>
    <sheet name="Cost model" sheetId="4" r:id="rId1"/>
    <sheet name="LCOH, LCOS" sheetId="14" r:id="rId2"/>
    <sheet name="LCOE parameters" sheetId="9" r:id="rId3"/>
    <sheet name="Cost types in reports" sheetId="12" state="hidden" r:id="rId4"/>
    <sheet name="Costs in reports" sheetId="6" state="hidden" r:id="rId5"/>
    <sheet name="Standardized cost in reports" sheetId="8" state="hidden" r:id="rId6"/>
    <sheet name="Assumptions" sheetId="2" r:id="rId7"/>
    <sheet name="System costs" sheetId="13" state="hidden" r:id="rId8"/>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2" i="9" l="1"/>
  <c r="B30" i="9"/>
  <c r="C32" i="9"/>
  <c r="I44" i="4"/>
  <c r="I51" i="4"/>
  <c r="I52" i="4"/>
  <c r="J44" i="4"/>
  <c r="J51" i="4"/>
  <c r="J52" i="4"/>
  <c r="K44" i="4"/>
  <c r="K51" i="4"/>
  <c r="K52" i="4"/>
  <c r="L44" i="4"/>
  <c r="L51" i="4"/>
  <c r="L52" i="4"/>
  <c r="M44" i="4"/>
  <c r="M51" i="4"/>
  <c r="M52" i="4"/>
  <c r="N44" i="4"/>
  <c r="N51" i="4"/>
  <c r="N52" i="4"/>
  <c r="O44" i="4"/>
  <c r="O51" i="4"/>
  <c r="O52" i="4"/>
  <c r="P44" i="4"/>
  <c r="P51" i="4"/>
  <c r="P52" i="4"/>
  <c r="Q44" i="4"/>
  <c r="Q51" i="4"/>
  <c r="Q52" i="4"/>
  <c r="R44" i="4"/>
  <c r="R51" i="4"/>
  <c r="R52" i="4"/>
  <c r="S44" i="4"/>
  <c r="S51" i="4"/>
  <c r="S52" i="4"/>
  <c r="T44" i="4"/>
  <c r="T51" i="4"/>
  <c r="T52" i="4"/>
  <c r="U44" i="4"/>
  <c r="U51" i="4"/>
  <c r="U52" i="4"/>
  <c r="V44" i="4"/>
  <c r="V51" i="4"/>
  <c r="V52" i="4"/>
  <c r="W44" i="4"/>
  <c r="W51" i="4"/>
  <c r="W52" i="4"/>
  <c r="X44" i="4"/>
  <c r="X51" i="4"/>
  <c r="X52" i="4"/>
  <c r="Y44" i="4"/>
  <c r="Y51" i="4"/>
  <c r="Y52" i="4"/>
  <c r="Z44" i="4"/>
  <c r="Z51" i="4"/>
  <c r="Z52" i="4"/>
  <c r="AA44" i="4"/>
  <c r="AA51" i="4"/>
  <c r="AA52" i="4"/>
  <c r="AB44" i="4"/>
  <c r="AB51" i="4"/>
  <c r="AB52" i="4"/>
  <c r="AC44" i="4"/>
  <c r="AC51" i="4"/>
  <c r="AC52" i="4"/>
  <c r="AD44" i="4"/>
  <c r="AD51" i="4"/>
  <c r="AD52" i="4"/>
  <c r="AE44" i="4"/>
  <c r="AE51" i="4"/>
  <c r="AE52" i="4"/>
  <c r="AF44" i="4"/>
  <c r="AF51" i="4"/>
  <c r="AF52" i="4"/>
  <c r="AG44" i="4"/>
  <c r="AG51" i="4"/>
  <c r="AG52" i="4"/>
  <c r="AH44" i="4"/>
  <c r="AH51" i="4"/>
  <c r="AH52" i="4"/>
  <c r="AI44" i="4"/>
  <c r="AI40" i="4"/>
  <c r="AI51" i="4"/>
  <c r="AI52" i="4"/>
  <c r="AJ44" i="4"/>
  <c r="AJ51" i="4"/>
  <c r="AJ52" i="4"/>
  <c r="AK44" i="4"/>
  <c r="AK51" i="4"/>
  <c r="AK52" i="4"/>
  <c r="AL44" i="4"/>
  <c r="AL51" i="4"/>
  <c r="AL52" i="4"/>
  <c r="AM44" i="4"/>
  <c r="AM51" i="4"/>
  <c r="AM52" i="4"/>
  <c r="AN44" i="4"/>
  <c r="AN51" i="4"/>
  <c r="AN52" i="4"/>
  <c r="AO44" i="4"/>
  <c r="AO51" i="4"/>
  <c r="AO52" i="4"/>
  <c r="AP44" i="4"/>
  <c r="AP51" i="4"/>
  <c r="AP52" i="4"/>
  <c r="AQ44" i="4"/>
  <c r="AQ51" i="4"/>
  <c r="AQ52" i="4"/>
  <c r="AR44" i="4"/>
  <c r="AR51" i="4"/>
  <c r="AR52" i="4"/>
  <c r="AS44" i="4"/>
  <c r="AS51" i="4"/>
  <c r="AS52" i="4"/>
  <c r="AT44" i="4"/>
  <c r="AT51" i="4"/>
  <c r="AT52" i="4"/>
  <c r="AU44" i="4"/>
  <c r="AU51" i="4"/>
  <c r="AU52" i="4"/>
  <c r="AV44" i="4"/>
  <c r="AV51" i="4"/>
  <c r="AV52" i="4"/>
  <c r="AW44" i="4"/>
  <c r="AW51" i="4"/>
  <c r="AW52" i="4"/>
  <c r="AX44" i="4"/>
  <c r="AX51" i="4"/>
  <c r="AX52" i="4"/>
  <c r="AY44" i="4"/>
  <c r="AY51" i="4"/>
  <c r="AY52" i="4"/>
  <c r="AZ44" i="4"/>
  <c r="AZ51" i="4"/>
  <c r="AZ52" i="4"/>
  <c r="BA44" i="4"/>
  <c r="BA51" i="4"/>
  <c r="BA52" i="4"/>
  <c r="BB44" i="4"/>
  <c r="BB51" i="4"/>
  <c r="BB52" i="4"/>
  <c r="BC44" i="4"/>
  <c r="BC51" i="4"/>
  <c r="BC52" i="4"/>
  <c r="BD44" i="4"/>
  <c r="BD51" i="4"/>
  <c r="BD52" i="4"/>
  <c r="BE44" i="4"/>
  <c r="BE51" i="4"/>
  <c r="BE52" i="4"/>
  <c r="BF44" i="4"/>
  <c r="BF51" i="4"/>
  <c r="BF52" i="4"/>
  <c r="BG44" i="4"/>
  <c r="BG51" i="4"/>
  <c r="BG52" i="4"/>
  <c r="BH44" i="4"/>
  <c r="BH51" i="4"/>
  <c r="BH52" i="4"/>
  <c r="BI44" i="4"/>
  <c r="BI51" i="4"/>
  <c r="BI52" i="4"/>
  <c r="BJ44" i="4"/>
  <c r="BJ51" i="4"/>
  <c r="BJ52" i="4"/>
  <c r="BK44" i="4"/>
  <c r="BK51" i="4"/>
  <c r="BK52" i="4"/>
  <c r="BL44" i="4"/>
  <c r="BL51" i="4"/>
  <c r="BL52" i="4"/>
  <c r="BM44" i="4"/>
  <c r="BM51" i="4"/>
  <c r="BM52" i="4"/>
  <c r="BN44" i="4"/>
  <c r="BN51" i="4"/>
  <c r="BN52" i="4"/>
  <c r="BO44" i="4"/>
  <c r="BO40" i="4"/>
  <c r="BO51" i="4"/>
  <c r="BO52" i="4"/>
  <c r="BP44" i="4"/>
  <c r="BP51" i="4"/>
  <c r="BP52" i="4"/>
  <c r="B51" i="4"/>
  <c r="B52" i="4"/>
  <c r="C51" i="4"/>
  <c r="C52" i="4"/>
  <c r="D51" i="4"/>
  <c r="D52" i="4"/>
  <c r="D58" i="4" s="1"/>
  <c r="E51" i="4"/>
  <c r="E52" i="4"/>
  <c r="F51" i="4"/>
  <c r="F52" i="4"/>
  <c r="F58" i="4" s="1"/>
  <c r="G51" i="4"/>
  <c r="G52" i="4"/>
  <c r="H51" i="4"/>
  <c r="H52" i="4"/>
  <c r="B58" i="4"/>
  <c r="C58" i="4"/>
  <c r="E58" i="4"/>
  <c r="G58" i="4"/>
  <c r="H58" i="4"/>
  <c r="I50" i="4"/>
  <c r="I58" i="4"/>
  <c r="J50" i="4"/>
  <c r="J58" i="4" s="1"/>
  <c r="K50" i="4"/>
  <c r="K58" i="4" s="1"/>
  <c r="L50" i="4"/>
  <c r="L58" i="4" s="1"/>
  <c r="M50" i="4"/>
  <c r="M58" i="4"/>
  <c r="N50" i="4"/>
  <c r="N58" i="4" s="1"/>
  <c r="O50" i="4"/>
  <c r="O58" i="4" s="1"/>
  <c r="P50" i="4"/>
  <c r="P58" i="4" s="1"/>
  <c r="Q50" i="4"/>
  <c r="Q58" i="4"/>
  <c r="R50" i="4"/>
  <c r="R58" i="4" s="1"/>
  <c r="S50" i="4"/>
  <c r="S58" i="4" s="1"/>
  <c r="T50" i="4"/>
  <c r="T58" i="4" s="1"/>
  <c r="U50" i="4"/>
  <c r="U58" i="4"/>
  <c r="V50" i="4"/>
  <c r="V58" i="4" s="1"/>
  <c r="W50" i="4"/>
  <c r="W58" i="4" s="1"/>
  <c r="X50" i="4"/>
  <c r="X58" i="4" s="1"/>
  <c r="Y50" i="4"/>
  <c r="Y58" i="4"/>
  <c r="Z50" i="4"/>
  <c r="Z58" i="4" s="1"/>
  <c r="AA50" i="4"/>
  <c r="AA58" i="4" s="1"/>
  <c r="AB50" i="4"/>
  <c r="AB58" i="4" s="1"/>
  <c r="AC50" i="4"/>
  <c r="AC58" i="4"/>
  <c r="AD50" i="4"/>
  <c r="AD58" i="4" s="1"/>
  <c r="AE50" i="4"/>
  <c r="AE58" i="4" s="1"/>
  <c r="AF50" i="4"/>
  <c r="AF58" i="4" s="1"/>
  <c r="AG50" i="4"/>
  <c r="AG58" i="4"/>
  <c r="AH50" i="4"/>
  <c r="AH58" i="4" s="1"/>
  <c r="AI50" i="4"/>
  <c r="AI58" i="4" s="1"/>
  <c r="AJ50" i="4"/>
  <c r="AJ58" i="4" s="1"/>
  <c r="AK50" i="4"/>
  <c r="AK58" i="4"/>
  <c r="AL50" i="4"/>
  <c r="AL58" i="4" s="1"/>
  <c r="AM50" i="4"/>
  <c r="AM58" i="4" s="1"/>
  <c r="AN50" i="4"/>
  <c r="AN58" i="4" s="1"/>
  <c r="AO50" i="4"/>
  <c r="AO58" i="4"/>
  <c r="AP50" i="4"/>
  <c r="AP58" i="4" s="1"/>
  <c r="AQ50" i="4"/>
  <c r="AQ58" i="4" s="1"/>
  <c r="AR50" i="4"/>
  <c r="AR58" i="4" s="1"/>
  <c r="AS50" i="4"/>
  <c r="AS58" i="4"/>
  <c r="AT50" i="4"/>
  <c r="AT58" i="4" s="1"/>
  <c r="AU50" i="4"/>
  <c r="AU58" i="4" s="1"/>
  <c r="AV50" i="4"/>
  <c r="AV58" i="4" s="1"/>
  <c r="AW50" i="4"/>
  <c r="AW58" i="4"/>
  <c r="AX50" i="4"/>
  <c r="AX58" i="4" s="1"/>
  <c r="AY50" i="4"/>
  <c r="AY58" i="4" s="1"/>
  <c r="AZ50" i="4"/>
  <c r="AZ58" i="4" s="1"/>
  <c r="BA50" i="4"/>
  <c r="BA58" i="4"/>
  <c r="BB50" i="4"/>
  <c r="BB58" i="4" s="1"/>
  <c r="BC50" i="4"/>
  <c r="BC58" i="4" s="1"/>
  <c r="BD50" i="4"/>
  <c r="BD58" i="4" s="1"/>
  <c r="BE50" i="4"/>
  <c r="BE58" i="4"/>
  <c r="BF50" i="4"/>
  <c r="BF58" i="4" s="1"/>
  <c r="BG50" i="4"/>
  <c r="BG58" i="4" s="1"/>
  <c r="BH50" i="4"/>
  <c r="BH58" i="4" s="1"/>
  <c r="BI50" i="4"/>
  <c r="BI58" i="4"/>
  <c r="BJ50" i="4"/>
  <c r="BJ58" i="4" s="1"/>
  <c r="BK50" i="4"/>
  <c r="BK58" i="4" s="1"/>
  <c r="BL50" i="4"/>
  <c r="BL58" i="4" s="1"/>
  <c r="BM50" i="4"/>
  <c r="BM58" i="4"/>
  <c r="BN50" i="4"/>
  <c r="BN58" i="4" s="1"/>
  <c r="BO50" i="4"/>
  <c r="BO58" i="4" s="1"/>
  <c r="BP50" i="4"/>
  <c r="BP58" i="4" s="1"/>
  <c r="B27" i="9"/>
  <c r="D14" i="4" s="1"/>
  <c r="B26" i="4"/>
  <c r="B27" i="4"/>
  <c r="C26" i="4"/>
  <c r="C27" i="4"/>
  <c r="D26" i="4"/>
  <c r="D27" i="4"/>
  <c r="E26" i="4"/>
  <c r="E27" i="4"/>
  <c r="F26" i="4"/>
  <c r="F14" i="4"/>
  <c r="F27" i="4"/>
  <c r="G26" i="4"/>
  <c r="G27" i="4"/>
  <c r="H26" i="4"/>
  <c r="H27" i="4"/>
  <c r="I26" i="4"/>
  <c r="I27" i="4"/>
  <c r="B38" i="9"/>
  <c r="B39" i="9" s="1"/>
  <c r="I22" i="4"/>
  <c r="I19" i="4"/>
  <c r="I17" i="4"/>
  <c r="J26" i="4"/>
  <c r="J27" i="4"/>
  <c r="J15" i="4"/>
  <c r="J19" i="4"/>
  <c r="J17" i="4"/>
  <c r="K26" i="4"/>
  <c r="K27" i="4"/>
  <c r="K22" i="4"/>
  <c r="K19" i="4"/>
  <c r="K17" i="4"/>
  <c r="L26" i="4"/>
  <c r="L27" i="4"/>
  <c r="L15" i="4"/>
  <c r="L22" i="4"/>
  <c r="L19" i="4"/>
  <c r="L17" i="4"/>
  <c r="M26" i="4"/>
  <c r="M27" i="4"/>
  <c r="M15" i="4"/>
  <c r="M22" i="4"/>
  <c r="M19" i="4"/>
  <c r="M17" i="4"/>
  <c r="N26" i="4"/>
  <c r="N27" i="4"/>
  <c r="N15" i="4"/>
  <c r="N19" i="4"/>
  <c r="N17" i="4"/>
  <c r="O26" i="4"/>
  <c r="O27" i="4"/>
  <c r="O22" i="4"/>
  <c r="O19" i="4"/>
  <c r="O17" i="4"/>
  <c r="P26" i="4"/>
  <c r="P27" i="4"/>
  <c r="P15" i="4"/>
  <c r="P22" i="4"/>
  <c r="P19" i="4"/>
  <c r="P17" i="4"/>
  <c r="Q26" i="4"/>
  <c r="Q27" i="4"/>
  <c r="Q15" i="4"/>
  <c r="Q22" i="4"/>
  <c r="Q19" i="4"/>
  <c r="Q17" i="4"/>
  <c r="R26" i="4"/>
  <c r="R27" i="4"/>
  <c r="R15" i="4"/>
  <c r="R22" i="4"/>
  <c r="R19" i="4"/>
  <c r="R17" i="4"/>
  <c r="S26" i="4"/>
  <c r="S27" i="4"/>
  <c r="S15" i="4"/>
  <c r="S22" i="4"/>
  <c r="S19" i="4"/>
  <c r="S17" i="4"/>
  <c r="T26" i="4"/>
  <c r="T27" i="4"/>
  <c r="T15" i="4"/>
  <c r="T22" i="4"/>
  <c r="T19" i="4"/>
  <c r="T17" i="4"/>
  <c r="U26" i="4"/>
  <c r="U27" i="4"/>
  <c r="U15" i="4"/>
  <c r="U22" i="4"/>
  <c r="U19" i="4"/>
  <c r="U17" i="4"/>
  <c r="V26" i="4"/>
  <c r="V27" i="4"/>
  <c r="V15" i="4"/>
  <c r="V22" i="4"/>
  <c r="V19" i="4"/>
  <c r="V17" i="4"/>
  <c r="W26" i="4"/>
  <c r="W27" i="4"/>
  <c r="W15" i="4"/>
  <c r="W22" i="4"/>
  <c r="W19" i="4"/>
  <c r="W17" i="4"/>
  <c r="X26" i="4"/>
  <c r="X27" i="4"/>
  <c r="X15" i="4"/>
  <c r="X22" i="4"/>
  <c r="X19" i="4"/>
  <c r="X17" i="4"/>
  <c r="Y26" i="4"/>
  <c r="Y27" i="4"/>
  <c r="Y15" i="4"/>
  <c r="Y22" i="4"/>
  <c r="Y19" i="4"/>
  <c r="Y17" i="4"/>
  <c r="Z26" i="4"/>
  <c r="Z27" i="4"/>
  <c r="Z15" i="4"/>
  <c r="Z22" i="4"/>
  <c r="Z19" i="4"/>
  <c r="Z17" i="4"/>
  <c r="AA26" i="4"/>
  <c r="AA27" i="4"/>
  <c r="AA15" i="4"/>
  <c r="AA22" i="4"/>
  <c r="AA19" i="4"/>
  <c r="AA17" i="4"/>
  <c r="AB26" i="4"/>
  <c r="AB27" i="4"/>
  <c r="AB15" i="4"/>
  <c r="AB22" i="4"/>
  <c r="AB19" i="4"/>
  <c r="AB17" i="4"/>
  <c r="AC26" i="4"/>
  <c r="AC27" i="4"/>
  <c r="AC15" i="4"/>
  <c r="AC22" i="4"/>
  <c r="AC19" i="4"/>
  <c r="AC17" i="4"/>
  <c r="AD26" i="4"/>
  <c r="AD27" i="4"/>
  <c r="AD15" i="4"/>
  <c r="AD22" i="4"/>
  <c r="AD19" i="4"/>
  <c r="AD17" i="4"/>
  <c r="AE26" i="4"/>
  <c r="AE27" i="4"/>
  <c r="AE15" i="4"/>
  <c r="AE22" i="4"/>
  <c r="AE19" i="4"/>
  <c r="AE17" i="4"/>
  <c r="AF26" i="4"/>
  <c r="AF27" i="4"/>
  <c r="AF15" i="4"/>
  <c r="AF22" i="4"/>
  <c r="AF19" i="4"/>
  <c r="AF17" i="4"/>
  <c r="AG26" i="4"/>
  <c r="AG27" i="4"/>
  <c r="AG15" i="4"/>
  <c r="AG22" i="4"/>
  <c r="AG19" i="4"/>
  <c r="AG17" i="4"/>
  <c r="AH26" i="4"/>
  <c r="AH27" i="4"/>
  <c r="AH15" i="4"/>
  <c r="AH22" i="4"/>
  <c r="AH19" i="4"/>
  <c r="AH17" i="4"/>
  <c r="AI26" i="4"/>
  <c r="AI27" i="4"/>
  <c r="AI15" i="4"/>
  <c r="AI22" i="4"/>
  <c r="AI19" i="4"/>
  <c r="AI17" i="4"/>
  <c r="AJ26" i="4"/>
  <c r="AJ27" i="4"/>
  <c r="AJ15" i="4"/>
  <c r="AJ22" i="4"/>
  <c r="AJ19" i="4"/>
  <c r="AJ17" i="4"/>
  <c r="AK26" i="4"/>
  <c r="AK27" i="4"/>
  <c r="AK15" i="4"/>
  <c r="AK22" i="4"/>
  <c r="AK19" i="4"/>
  <c r="AK17" i="4"/>
  <c r="AL26" i="4"/>
  <c r="AL27" i="4"/>
  <c r="AL15" i="4"/>
  <c r="AL22" i="4"/>
  <c r="AL19" i="4"/>
  <c r="AL17" i="4"/>
  <c r="AM26" i="4"/>
  <c r="AM27" i="4"/>
  <c r="AM15" i="4"/>
  <c r="AM22" i="4"/>
  <c r="AM19" i="4"/>
  <c r="AM17" i="4"/>
  <c r="AN26" i="4"/>
  <c r="AN27" i="4"/>
  <c r="AN15" i="4"/>
  <c r="AN22" i="4"/>
  <c r="AN19" i="4"/>
  <c r="AN17" i="4"/>
  <c r="AO26" i="4"/>
  <c r="AO27" i="4"/>
  <c r="AO15" i="4"/>
  <c r="AO22" i="4"/>
  <c r="AO19" i="4"/>
  <c r="AO17" i="4"/>
  <c r="AP26" i="4"/>
  <c r="AP27" i="4"/>
  <c r="AP15" i="4"/>
  <c r="AP22" i="4"/>
  <c r="AP19" i="4"/>
  <c r="AP17" i="4"/>
  <c r="AQ26" i="4"/>
  <c r="AQ27" i="4"/>
  <c r="AQ15" i="4"/>
  <c r="AQ22" i="4"/>
  <c r="AQ19" i="4"/>
  <c r="AQ17" i="4"/>
  <c r="AR26" i="4"/>
  <c r="AR27" i="4"/>
  <c r="AR15" i="4"/>
  <c r="AR22" i="4"/>
  <c r="AR19" i="4"/>
  <c r="AR17" i="4"/>
  <c r="AS26" i="4"/>
  <c r="AS27" i="4"/>
  <c r="AS15" i="4"/>
  <c r="AS22" i="4"/>
  <c r="AS19" i="4"/>
  <c r="AS17" i="4"/>
  <c r="AT26" i="4"/>
  <c r="AT27" i="4"/>
  <c r="AT15" i="4"/>
  <c r="AT22" i="4"/>
  <c r="AT19" i="4"/>
  <c r="AT17" i="4"/>
  <c r="AU26" i="4"/>
  <c r="AU27" i="4"/>
  <c r="AU15" i="4"/>
  <c r="AU22" i="4"/>
  <c r="AU19" i="4"/>
  <c r="AU17" i="4"/>
  <c r="AV26" i="4"/>
  <c r="AV27" i="4"/>
  <c r="AV15" i="4"/>
  <c r="AV22" i="4"/>
  <c r="AV19" i="4"/>
  <c r="AV17" i="4"/>
  <c r="AW26" i="4"/>
  <c r="AW27" i="4"/>
  <c r="AW15" i="4"/>
  <c r="AW22" i="4"/>
  <c r="AW19" i="4"/>
  <c r="AW17" i="4"/>
  <c r="AX26" i="4"/>
  <c r="AX27" i="4"/>
  <c r="AX15" i="4"/>
  <c r="AX22" i="4"/>
  <c r="AX19" i="4"/>
  <c r="AX17" i="4"/>
  <c r="AY26" i="4"/>
  <c r="AY27" i="4"/>
  <c r="AY15" i="4"/>
  <c r="AY22" i="4"/>
  <c r="AY19" i="4"/>
  <c r="AY17" i="4"/>
  <c r="AZ26" i="4"/>
  <c r="AZ27" i="4"/>
  <c r="AZ15" i="4"/>
  <c r="AZ22" i="4"/>
  <c r="AZ19" i="4"/>
  <c r="AZ17" i="4"/>
  <c r="BA26" i="4"/>
  <c r="BA27" i="4"/>
  <c r="BA15" i="4"/>
  <c r="BA22" i="4"/>
  <c r="BA19" i="4"/>
  <c r="BA17" i="4"/>
  <c r="BB26" i="4"/>
  <c r="BB27" i="4"/>
  <c r="BB15" i="4"/>
  <c r="BB22" i="4"/>
  <c r="BB19" i="4"/>
  <c r="BB17" i="4"/>
  <c r="BC26" i="4"/>
  <c r="BC27" i="4"/>
  <c r="BC15" i="4"/>
  <c r="BC22" i="4"/>
  <c r="BC19" i="4"/>
  <c r="BC17" i="4"/>
  <c r="BD26" i="4"/>
  <c r="BD27" i="4"/>
  <c r="BD15" i="4"/>
  <c r="BD22" i="4"/>
  <c r="BD19" i="4"/>
  <c r="BD17" i="4"/>
  <c r="BE26" i="4"/>
  <c r="BE27" i="4"/>
  <c r="BE15" i="4"/>
  <c r="BE22" i="4"/>
  <c r="BE19" i="4"/>
  <c r="BE17" i="4"/>
  <c r="BF26" i="4"/>
  <c r="BF27" i="4"/>
  <c r="BF15" i="4"/>
  <c r="BF22" i="4"/>
  <c r="BF19" i="4"/>
  <c r="BF17" i="4"/>
  <c r="BG26" i="4"/>
  <c r="BG27" i="4"/>
  <c r="BG15" i="4"/>
  <c r="BG22" i="4"/>
  <c r="BG19" i="4"/>
  <c r="BG17" i="4"/>
  <c r="BH26" i="4"/>
  <c r="BH27" i="4"/>
  <c r="BH15" i="4"/>
  <c r="BH22" i="4"/>
  <c r="BH19" i="4"/>
  <c r="BH17" i="4"/>
  <c r="BI26" i="4"/>
  <c r="BI27" i="4"/>
  <c r="BI15" i="4"/>
  <c r="BI22" i="4"/>
  <c r="BI19" i="4"/>
  <c r="BI17" i="4"/>
  <c r="BJ26" i="4"/>
  <c r="BJ27" i="4"/>
  <c r="BJ15" i="4"/>
  <c r="BJ22" i="4"/>
  <c r="BJ19" i="4"/>
  <c r="BJ17" i="4"/>
  <c r="BK26" i="4"/>
  <c r="BK27" i="4"/>
  <c r="BK15" i="4"/>
  <c r="BK22" i="4"/>
  <c r="BK19" i="4"/>
  <c r="BK17" i="4"/>
  <c r="BL26" i="4"/>
  <c r="BL27" i="4"/>
  <c r="BL15" i="4"/>
  <c r="BL22" i="4"/>
  <c r="BL19" i="4"/>
  <c r="BL17" i="4"/>
  <c r="BM26" i="4"/>
  <c r="BM27" i="4"/>
  <c r="BM15" i="4"/>
  <c r="BM22" i="4"/>
  <c r="BM19" i="4"/>
  <c r="BM17" i="4"/>
  <c r="BN26" i="4"/>
  <c r="BN27" i="4"/>
  <c r="BN15" i="4"/>
  <c r="BN22" i="4"/>
  <c r="BN19" i="4"/>
  <c r="BN17" i="4"/>
  <c r="BO26" i="4"/>
  <c r="BO27" i="4"/>
  <c r="BO15" i="4"/>
  <c r="BO22" i="4"/>
  <c r="BO19" i="4"/>
  <c r="BO17" i="4"/>
  <c r="BP26" i="4"/>
  <c r="BP27" i="4"/>
  <c r="BP15" i="4"/>
  <c r="BP22" i="4"/>
  <c r="BP19" i="4"/>
  <c r="BP17" i="4"/>
  <c r="B33" i="4"/>
  <c r="C33" i="4"/>
  <c r="D33" i="4"/>
  <c r="F33" i="4"/>
  <c r="G33" i="4"/>
  <c r="H33" i="4"/>
  <c r="I25" i="4"/>
  <c r="I33" i="4"/>
  <c r="J25" i="4"/>
  <c r="J33" i="4"/>
  <c r="K25" i="4"/>
  <c r="K33" i="4" s="1"/>
  <c r="L25" i="4"/>
  <c r="L33" i="4" s="1"/>
  <c r="M25" i="4"/>
  <c r="N25" i="4"/>
  <c r="N33" i="4"/>
  <c r="O25" i="4"/>
  <c r="O33" i="4" s="1"/>
  <c r="P25" i="4"/>
  <c r="P33" i="4" s="1"/>
  <c r="Q25" i="4"/>
  <c r="R25" i="4"/>
  <c r="R33" i="4"/>
  <c r="S25" i="4"/>
  <c r="S33" i="4" s="1"/>
  <c r="T25" i="4"/>
  <c r="T33" i="4" s="1"/>
  <c r="U25" i="4"/>
  <c r="V25" i="4"/>
  <c r="V33" i="4"/>
  <c r="W25" i="4"/>
  <c r="W33" i="4" s="1"/>
  <c r="X25" i="4"/>
  <c r="X33" i="4" s="1"/>
  <c r="Y25" i="4"/>
  <c r="Z25" i="4"/>
  <c r="Z33" i="4"/>
  <c r="AA25" i="4"/>
  <c r="AA33" i="4" s="1"/>
  <c r="AB25" i="4"/>
  <c r="AB33" i="4" s="1"/>
  <c r="AC25" i="4"/>
  <c r="AD25" i="4"/>
  <c r="AD33" i="4"/>
  <c r="AE25" i="4"/>
  <c r="AE33" i="4" s="1"/>
  <c r="AF25" i="4"/>
  <c r="AF33" i="4" s="1"/>
  <c r="AG25" i="4"/>
  <c r="AH25" i="4"/>
  <c r="AH33" i="4"/>
  <c r="AI25" i="4"/>
  <c r="AI33" i="4" s="1"/>
  <c r="AJ25" i="4"/>
  <c r="AJ33" i="4" s="1"/>
  <c r="AK25" i="4"/>
  <c r="AL25" i="4"/>
  <c r="AL33" i="4"/>
  <c r="AM25" i="4"/>
  <c r="AM33" i="4" s="1"/>
  <c r="AN25" i="4"/>
  <c r="AN33" i="4" s="1"/>
  <c r="AO25" i="4"/>
  <c r="AP25" i="4"/>
  <c r="AP33" i="4"/>
  <c r="AQ25" i="4"/>
  <c r="AQ33" i="4" s="1"/>
  <c r="AR25" i="4"/>
  <c r="AR33" i="4" s="1"/>
  <c r="AS25" i="4"/>
  <c r="AT25" i="4"/>
  <c r="AT33" i="4"/>
  <c r="AU25" i="4"/>
  <c r="AU33" i="4" s="1"/>
  <c r="AV25" i="4"/>
  <c r="AV33" i="4" s="1"/>
  <c r="AW25" i="4"/>
  <c r="AX25" i="4"/>
  <c r="AX33" i="4"/>
  <c r="AY25" i="4"/>
  <c r="AY33" i="4" s="1"/>
  <c r="AZ25" i="4"/>
  <c r="AZ33" i="4" s="1"/>
  <c r="BA25" i="4"/>
  <c r="BB25" i="4"/>
  <c r="BB33" i="4"/>
  <c r="BC25" i="4"/>
  <c r="BC33" i="4" s="1"/>
  <c r="BD25" i="4"/>
  <c r="BD33" i="4" s="1"/>
  <c r="BE25" i="4"/>
  <c r="BF25" i="4"/>
  <c r="BF33" i="4"/>
  <c r="BG25" i="4"/>
  <c r="BG33" i="4" s="1"/>
  <c r="BH25" i="4"/>
  <c r="BH33" i="4" s="1"/>
  <c r="BI25" i="4"/>
  <c r="BJ25" i="4"/>
  <c r="BJ33" i="4"/>
  <c r="BK25" i="4"/>
  <c r="BK33" i="4" s="1"/>
  <c r="BL25" i="4"/>
  <c r="BL33" i="4" s="1"/>
  <c r="BM25" i="4"/>
  <c r="BN25" i="4"/>
  <c r="BN33" i="4"/>
  <c r="BO25" i="4"/>
  <c r="BO33" i="4" s="1"/>
  <c r="BP25" i="4"/>
  <c r="BP33" i="4" s="1"/>
  <c r="C31" i="9"/>
  <c r="B31" i="9"/>
  <c r="C27" i="9"/>
  <c r="O40" i="4" s="1"/>
  <c r="B52" i="9"/>
  <c r="H43" i="14"/>
  <c r="E46" i="14"/>
  <c r="F58" i="14"/>
  <c r="G58" i="14"/>
  <c r="H58" i="14"/>
  <c r="I58" i="14"/>
  <c r="J58" i="14"/>
  <c r="K58" i="14"/>
  <c r="L58" i="14"/>
  <c r="M58" i="14"/>
  <c r="N58" i="14"/>
  <c r="O58" i="14"/>
  <c r="P58" i="14"/>
  <c r="Q58" i="14"/>
  <c r="R58" i="14"/>
  <c r="S58" i="14"/>
  <c r="T58" i="14"/>
  <c r="U58" i="14"/>
  <c r="V58" i="14"/>
  <c r="W58" i="14"/>
  <c r="X58" i="14"/>
  <c r="E58" i="14"/>
  <c r="C79" i="14"/>
  <c r="B79" i="14"/>
  <c r="E77" i="14"/>
  <c r="F77" i="14"/>
  <c r="G77" i="14"/>
  <c r="H77" i="14"/>
  <c r="I77" i="14"/>
  <c r="J77" i="14"/>
  <c r="K77" i="14"/>
  <c r="L77" i="14"/>
  <c r="M77" i="14"/>
  <c r="N77" i="14"/>
  <c r="O77" i="14"/>
  <c r="P77" i="14"/>
  <c r="Q77" i="14"/>
  <c r="R77" i="14"/>
  <c r="S77" i="14"/>
  <c r="T77" i="14"/>
  <c r="U77" i="14"/>
  <c r="V77" i="14"/>
  <c r="W77" i="14"/>
  <c r="X77" i="14"/>
  <c r="Y77" i="14"/>
  <c r="Z77" i="14"/>
  <c r="AA77" i="14"/>
  <c r="AB77" i="14"/>
  <c r="AC77" i="14"/>
  <c r="AD77" i="14"/>
  <c r="AE77" i="14"/>
  <c r="AF77" i="14"/>
  <c r="AG77" i="14"/>
  <c r="D77" i="14"/>
  <c r="E76" i="14"/>
  <c r="F76" i="14"/>
  <c r="G76" i="14"/>
  <c r="H76" i="14"/>
  <c r="I76" i="14"/>
  <c r="J76" i="14"/>
  <c r="K76" i="14"/>
  <c r="L76" i="14"/>
  <c r="M76" i="14"/>
  <c r="N76" i="14"/>
  <c r="O76" i="14"/>
  <c r="P76" i="14"/>
  <c r="Q76" i="14"/>
  <c r="R76" i="14"/>
  <c r="S76" i="14"/>
  <c r="T76" i="14"/>
  <c r="U76" i="14"/>
  <c r="V76" i="14"/>
  <c r="W76" i="14"/>
  <c r="X76" i="14"/>
  <c r="Y76" i="14"/>
  <c r="Z76" i="14"/>
  <c r="AA76" i="14"/>
  <c r="AB76" i="14"/>
  <c r="AC76" i="14"/>
  <c r="AD76" i="14"/>
  <c r="AE76" i="14"/>
  <c r="AF76" i="14"/>
  <c r="AG76" i="14"/>
  <c r="D76" i="14"/>
  <c r="E60" i="14"/>
  <c r="E64" i="14" s="1"/>
  <c r="B126" i="4"/>
  <c r="B114" i="4"/>
  <c r="B116" i="4"/>
  <c r="B127" i="4"/>
  <c r="B130" i="4"/>
  <c r="C126" i="4"/>
  <c r="C116" i="4" s="1"/>
  <c r="C127" i="4"/>
  <c r="C128" i="4"/>
  <c r="C115" i="4"/>
  <c r="C121" i="4"/>
  <c r="D126" i="4"/>
  <c r="D116" i="4"/>
  <c r="D127" i="4"/>
  <c r="D128" i="4"/>
  <c r="D115" i="4"/>
  <c r="D121" i="4"/>
  <c r="E126" i="4"/>
  <c r="E127" i="4"/>
  <c r="E128" i="4"/>
  <c r="E115" i="4" s="1"/>
  <c r="E121" i="4"/>
  <c r="F126" i="4"/>
  <c r="F127" i="4"/>
  <c r="F128" i="4"/>
  <c r="F115" i="4"/>
  <c r="F121" i="4"/>
  <c r="G126" i="4"/>
  <c r="G127" i="4"/>
  <c r="G128" i="4"/>
  <c r="G115" i="4" s="1"/>
  <c r="G121" i="4"/>
  <c r="H126" i="4"/>
  <c r="H127" i="4"/>
  <c r="H128" i="4"/>
  <c r="H115" i="4" s="1"/>
  <c r="H121" i="4"/>
  <c r="I126" i="4"/>
  <c r="I127" i="4"/>
  <c r="I128" i="4"/>
  <c r="I115" i="4" s="1"/>
  <c r="I121" i="4"/>
  <c r="J126" i="4"/>
  <c r="J127" i="4"/>
  <c r="J128" i="4"/>
  <c r="J115" i="4"/>
  <c r="J121" i="4"/>
  <c r="K126" i="4"/>
  <c r="K127" i="4"/>
  <c r="K128" i="4"/>
  <c r="K115" i="4" s="1"/>
  <c r="K121" i="4"/>
  <c r="L126" i="4"/>
  <c r="L127" i="4"/>
  <c r="L128" i="4"/>
  <c r="L115" i="4"/>
  <c r="L121" i="4"/>
  <c r="M126" i="4"/>
  <c r="M127" i="4"/>
  <c r="M128" i="4"/>
  <c r="M115" i="4"/>
  <c r="M117" i="4"/>
  <c r="M121" i="4"/>
  <c r="N126" i="4"/>
  <c r="N127" i="4"/>
  <c r="N128" i="4"/>
  <c r="N115" i="4" s="1"/>
  <c r="N121" i="4"/>
  <c r="O126" i="4"/>
  <c r="O127" i="4"/>
  <c r="O128" i="4"/>
  <c r="O115" i="4" s="1"/>
  <c r="O121" i="4"/>
  <c r="P126" i="4"/>
  <c r="P127" i="4"/>
  <c r="P133" i="4" s="1"/>
  <c r="P128" i="4"/>
  <c r="P115" i="4"/>
  <c r="P121" i="4"/>
  <c r="Q126" i="4"/>
  <c r="Q127" i="4"/>
  <c r="Q128" i="4"/>
  <c r="Q115" i="4"/>
  <c r="Q121" i="4"/>
  <c r="R126" i="4"/>
  <c r="R127" i="4"/>
  <c r="R128" i="4"/>
  <c r="R115" i="4"/>
  <c r="R121" i="4"/>
  <c r="S126" i="4"/>
  <c r="S127" i="4"/>
  <c r="S128" i="4"/>
  <c r="S115" i="4" s="1"/>
  <c r="S121" i="4"/>
  <c r="T126" i="4"/>
  <c r="T127" i="4"/>
  <c r="T128" i="4"/>
  <c r="T115" i="4"/>
  <c r="T121" i="4"/>
  <c r="U126" i="4"/>
  <c r="U127" i="4"/>
  <c r="U128" i="4"/>
  <c r="U115" i="4"/>
  <c r="U117" i="4"/>
  <c r="U121" i="4"/>
  <c r="V126" i="4"/>
  <c r="V127" i="4"/>
  <c r="V128" i="4"/>
  <c r="V115" i="4" s="1"/>
  <c r="V121" i="4"/>
  <c r="W126" i="4"/>
  <c r="W127" i="4"/>
  <c r="W128" i="4"/>
  <c r="W115" i="4" s="1"/>
  <c r="W121" i="4"/>
  <c r="X126" i="4"/>
  <c r="X127" i="4"/>
  <c r="X133" i="4" s="1"/>
  <c r="X128" i="4"/>
  <c r="X115" i="4"/>
  <c r="X121" i="4"/>
  <c r="Y126" i="4"/>
  <c r="Y127" i="4"/>
  <c r="Y128" i="4"/>
  <c r="Y115" i="4"/>
  <c r="Y121" i="4"/>
  <c r="Z126" i="4"/>
  <c r="Z127" i="4"/>
  <c r="Z128" i="4"/>
  <c r="Z115" i="4"/>
  <c r="Z121" i="4"/>
  <c r="AA126" i="4"/>
  <c r="AA127" i="4"/>
  <c r="AA128" i="4"/>
  <c r="AA115" i="4" s="1"/>
  <c r="AA121" i="4"/>
  <c r="B133" i="4"/>
  <c r="C125" i="4"/>
  <c r="C133" i="4" s="1"/>
  <c r="D125" i="4"/>
  <c r="D133" i="4"/>
  <c r="E125" i="4"/>
  <c r="E133" i="4"/>
  <c r="F125" i="4"/>
  <c r="F133" i="4"/>
  <c r="G125" i="4"/>
  <c r="G133" i="4" s="1"/>
  <c r="H125" i="4"/>
  <c r="I125" i="4"/>
  <c r="I133" i="4"/>
  <c r="J125" i="4"/>
  <c r="J133" i="4"/>
  <c r="K125" i="4"/>
  <c r="K133" i="4" s="1"/>
  <c r="L125" i="4"/>
  <c r="L133" i="4"/>
  <c r="M125" i="4"/>
  <c r="M133" i="4"/>
  <c r="N125" i="4"/>
  <c r="N133" i="4"/>
  <c r="O125" i="4"/>
  <c r="O133" i="4" s="1"/>
  <c r="P125" i="4"/>
  <c r="Q125" i="4"/>
  <c r="Q133" i="4"/>
  <c r="R125" i="4"/>
  <c r="R133" i="4"/>
  <c r="S125" i="4"/>
  <c r="S133" i="4" s="1"/>
  <c r="T125" i="4"/>
  <c r="T133" i="4"/>
  <c r="U125" i="4"/>
  <c r="U133" i="4"/>
  <c r="V125" i="4"/>
  <c r="V133" i="4"/>
  <c r="W125" i="4"/>
  <c r="W133" i="4" s="1"/>
  <c r="X125" i="4"/>
  <c r="Y125" i="4"/>
  <c r="Y133" i="4"/>
  <c r="Z125" i="4"/>
  <c r="Z133" i="4"/>
  <c r="AA125" i="4"/>
  <c r="AA133" i="4" s="1"/>
  <c r="B26" i="14"/>
  <c r="U54" i="14" s="1"/>
  <c r="B31" i="14"/>
  <c r="E59" i="14"/>
  <c r="H32" i="14"/>
  <c r="H33" i="14" s="1"/>
  <c r="F60" i="14"/>
  <c r="G60" i="14"/>
  <c r="H60" i="14"/>
  <c r="I60" i="14"/>
  <c r="I64" i="14" s="1"/>
  <c r="J60" i="14"/>
  <c r="K60" i="14"/>
  <c r="K64" i="14" s="1"/>
  <c r="L60" i="14"/>
  <c r="M60" i="14"/>
  <c r="N60" i="14"/>
  <c r="O60" i="14"/>
  <c r="P60" i="14"/>
  <c r="Q60" i="14"/>
  <c r="R60" i="14"/>
  <c r="R64" i="14" s="1"/>
  <c r="S60" i="14"/>
  <c r="S64" i="14" s="1"/>
  <c r="T60" i="14"/>
  <c r="U60" i="14"/>
  <c r="V60" i="14"/>
  <c r="W60" i="14"/>
  <c r="X60" i="14"/>
  <c r="E61" i="14"/>
  <c r="E62" i="14"/>
  <c r="B39" i="14"/>
  <c r="H14" i="14" s="1"/>
  <c r="D151" i="4"/>
  <c r="D141" i="4" s="1"/>
  <c r="D152" i="4"/>
  <c r="D153" i="4"/>
  <c r="D140" i="4" s="1"/>
  <c r="D146" i="4"/>
  <c r="C62" i="14"/>
  <c r="D62" i="14"/>
  <c r="F62" i="14"/>
  <c r="G62" i="14"/>
  <c r="H62" i="14"/>
  <c r="I62" i="14"/>
  <c r="J62" i="14"/>
  <c r="K62" i="14"/>
  <c r="L62" i="14"/>
  <c r="M62" i="14"/>
  <c r="N62" i="14"/>
  <c r="O62" i="14"/>
  <c r="P62" i="14"/>
  <c r="Q62" i="14"/>
  <c r="R62" i="14"/>
  <c r="S62" i="14"/>
  <c r="T62" i="14"/>
  <c r="U62" i="14"/>
  <c r="V62" i="14"/>
  <c r="W62" i="14"/>
  <c r="X62" i="14"/>
  <c r="B62" i="14"/>
  <c r="C61" i="14"/>
  <c r="C64" i="14"/>
  <c r="D61" i="14"/>
  <c r="D64" i="14" s="1"/>
  <c r="F61" i="14"/>
  <c r="F64" i="14" s="1"/>
  <c r="G61" i="14"/>
  <c r="G64" i="14" s="1"/>
  <c r="H61" i="14"/>
  <c r="H64" i="14" s="1"/>
  <c r="I61" i="14"/>
  <c r="J61" i="14"/>
  <c r="K61" i="14"/>
  <c r="L61" i="14"/>
  <c r="M61" i="14"/>
  <c r="N61" i="14"/>
  <c r="N64" i="14" s="1"/>
  <c r="O61" i="14"/>
  <c r="O64" i="14" s="1"/>
  <c r="P61" i="14"/>
  <c r="P64" i="14" s="1"/>
  <c r="Q61" i="14"/>
  <c r="R61" i="14"/>
  <c r="S61" i="14"/>
  <c r="T61" i="14"/>
  <c r="U61" i="14"/>
  <c r="V61" i="14"/>
  <c r="V64" i="14" s="1"/>
  <c r="W61" i="14"/>
  <c r="W64" i="14" s="1"/>
  <c r="X61" i="14"/>
  <c r="X64" i="14" s="1"/>
  <c r="B61" i="14"/>
  <c r="B64" i="14" s="1"/>
  <c r="B139" i="4"/>
  <c r="C139" i="4"/>
  <c r="B151" i="4"/>
  <c r="B141" i="4" s="1"/>
  <c r="C151" i="4"/>
  <c r="C141" i="4"/>
  <c r="B29" i="14"/>
  <c r="E57" i="14" s="1"/>
  <c r="AA71" i="14"/>
  <c r="C70" i="14"/>
  <c r="U71" i="14"/>
  <c r="M71" i="14"/>
  <c r="AG71" i="14"/>
  <c r="D71" i="14"/>
  <c r="S71" i="14"/>
  <c r="K71" i="14"/>
  <c r="AE71" i="14"/>
  <c r="Y71" i="14"/>
  <c r="Q71" i="14"/>
  <c r="I71" i="14"/>
  <c r="AC71" i="14"/>
  <c r="W71" i="14"/>
  <c r="O71" i="14"/>
  <c r="G71" i="14"/>
  <c r="F54" i="14"/>
  <c r="J64" i="14"/>
  <c r="T64" i="14"/>
  <c r="L64" i="14"/>
  <c r="M64" i="14"/>
  <c r="U64" i="14"/>
  <c r="Q64" i="14"/>
  <c r="N54" i="14"/>
  <c r="M54" i="14"/>
  <c r="T54" i="14"/>
  <c r="L54" i="14"/>
  <c r="J54" i="14"/>
  <c r="Q54" i="14"/>
  <c r="B53" i="14"/>
  <c r="X54" i="14"/>
  <c r="W54" i="14"/>
  <c r="O54" i="14"/>
  <c r="M39" i="9"/>
  <c r="M40" i="9"/>
  <c r="B37" i="9"/>
  <c r="N39" i="9"/>
  <c r="N40" i="9"/>
  <c r="N41" i="9"/>
  <c r="N42" i="9"/>
  <c r="N43" i="9"/>
  <c r="N44" i="9"/>
  <c r="N45" i="9"/>
  <c r="M45" i="9"/>
  <c r="M44" i="9"/>
  <c r="M43" i="9"/>
  <c r="M42" i="9"/>
  <c r="M41" i="9"/>
  <c r="E150" i="4"/>
  <c r="F150" i="4"/>
  <c r="G150" i="4"/>
  <c r="H150" i="4"/>
  <c r="I150" i="4"/>
  <c r="J150" i="4"/>
  <c r="K150" i="4"/>
  <c r="L150" i="4"/>
  <c r="M150" i="4"/>
  <c r="N150" i="4"/>
  <c r="O150" i="4"/>
  <c r="P150" i="4"/>
  <c r="Q150" i="4"/>
  <c r="R150" i="4"/>
  <c r="S150" i="4"/>
  <c r="T150" i="4"/>
  <c r="U150" i="4"/>
  <c r="V150" i="4"/>
  <c r="W150" i="4"/>
  <c r="X150" i="4"/>
  <c r="Y150" i="4"/>
  <c r="Z150" i="4"/>
  <c r="AA150" i="4"/>
  <c r="AB150" i="4"/>
  <c r="D150" i="4"/>
  <c r="D100" i="4"/>
  <c r="D108" i="4" s="1"/>
  <c r="E100" i="4"/>
  <c r="F100" i="4"/>
  <c r="G100" i="4"/>
  <c r="H100" i="4"/>
  <c r="I100" i="4"/>
  <c r="J100" i="4"/>
  <c r="K100" i="4"/>
  <c r="L100" i="4"/>
  <c r="M100" i="4"/>
  <c r="N100" i="4"/>
  <c r="O100" i="4"/>
  <c r="P100" i="4"/>
  <c r="Q100" i="4"/>
  <c r="R100" i="4"/>
  <c r="S100" i="4"/>
  <c r="T100" i="4"/>
  <c r="U100" i="4"/>
  <c r="V100" i="4"/>
  <c r="W100" i="4"/>
  <c r="X100" i="4"/>
  <c r="Y100" i="4"/>
  <c r="Z100" i="4"/>
  <c r="AA100" i="4"/>
  <c r="C100" i="4"/>
  <c r="D75" i="4"/>
  <c r="E75" i="4"/>
  <c r="F75" i="4"/>
  <c r="G75" i="4"/>
  <c r="H75" i="4"/>
  <c r="I75" i="4"/>
  <c r="J75" i="4"/>
  <c r="K75" i="4"/>
  <c r="K83" i="4" s="1"/>
  <c r="L75" i="4"/>
  <c r="M75" i="4"/>
  <c r="N75" i="4"/>
  <c r="O75" i="4"/>
  <c r="P75" i="4"/>
  <c r="Q75" i="4"/>
  <c r="R75" i="4"/>
  <c r="S75" i="4"/>
  <c r="S83" i="4" s="1"/>
  <c r="T75" i="4"/>
  <c r="U75" i="4"/>
  <c r="V75" i="4"/>
  <c r="W75" i="4"/>
  <c r="X75" i="4"/>
  <c r="Y75" i="4"/>
  <c r="Z75" i="4"/>
  <c r="AA75" i="4"/>
  <c r="AA83" i="4" s="1"/>
  <c r="AB75" i="4"/>
  <c r="AC75" i="4"/>
  <c r="AD75" i="4"/>
  <c r="AE75" i="4"/>
  <c r="AF75" i="4"/>
  <c r="AG75" i="4"/>
  <c r="AH75" i="4"/>
  <c r="AI75" i="4"/>
  <c r="AI83" i="4" s="1"/>
  <c r="AJ75" i="4"/>
  <c r="AK75" i="4"/>
  <c r="AL75" i="4"/>
  <c r="AM75" i="4"/>
  <c r="AN75" i="4"/>
  <c r="AO75" i="4"/>
  <c r="AP75" i="4"/>
  <c r="C75" i="4"/>
  <c r="C83" i="4" s="1"/>
  <c r="BP53" i="4"/>
  <c r="BO53" i="4"/>
  <c r="BN53" i="4"/>
  <c r="BM53" i="4"/>
  <c r="BL53" i="4"/>
  <c r="BK53" i="4"/>
  <c r="BJ53" i="4"/>
  <c r="BI53" i="4"/>
  <c r="BH53" i="4"/>
  <c r="BG53" i="4"/>
  <c r="BF53" i="4"/>
  <c r="BE53" i="4"/>
  <c r="BD53" i="4"/>
  <c r="BC53" i="4"/>
  <c r="BB53" i="4"/>
  <c r="BA53" i="4"/>
  <c r="AZ53" i="4"/>
  <c r="AY53" i="4"/>
  <c r="AX53"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B53" i="4"/>
  <c r="BP45" i="4"/>
  <c r="BO45" i="4"/>
  <c r="BN45" i="4"/>
  <c r="BM45" i="4"/>
  <c r="BL45" i="4"/>
  <c r="BK45" i="4"/>
  <c r="BJ45" i="4"/>
  <c r="BI45" i="4"/>
  <c r="BH45" i="4"/>
  <c r="BG45" i="4"/>
  <c r="BF45" i="4"/>
  <c r="BE45" i="4"/>
  <c r="BD45" i="4"/>
  <c r="BC45" i="4"/>
  <c r="BB45" i="4"/>
  <c r="BA45" i="4"/>
  <c r="AZ45" i="4"/>
  <c r="AY45" i="4"/>
  <c r="AX45" i="4"/>
  <c r="AW45" i="4"/>
  <c r="AV45" i="4"/>
  <c r="AU45" i="4"/>
  <c r="AT45" i="4"/>
  <c r="AS45" i="4"/>
  <c r="AR45" i="4"/>
  <c r="AQ45" i="4"/>
  <c r="AP45" i="4"/>
  <c r="AO45" i="4"/>
  <c r="AN45" i="4"/>
  <c r="AM45" i="4"/>
  <c r="AL45" i="4"/>
  <c r="AK45" i="4"/>
  <c r="AJ45" i="4"/>
  <c r="AI45" i="4"/>
  <c r="AH45" i="4"/>
  <c r="AG45" i="4"/>
  <c r="AF45" i="4"/>
  <c r="AE45" i="4"/>
  <c r="AD45" i="4"/>
  <c r="AC45" i="4"/>
  <c r="AB45" i="4"/>
  <c r="AA45" i="4"/>
  <c r="Z45" i="4"/>
  <c r="Y45" i="4"/>
  <c r="X45" i="4"/>
  <c r="W45" i="4"/>
  <c r="V45" i="4"/>
  <c r="U45" i="4"/>
  <c r="T45" i="4"/>
  <c r="S45" i="4"/>
  <c r="R45" i="4"/>
  <c r="Q45" i="4"/>
  <c r="P45" i="4"/>
  <c r="O45" i="4"/>
  <c r="N45" i="4"/>
  <c r="M45" i="4"/>
  <c r="L45" i="4"/>
  <c r="K45" i="4"/>
  <c r="J45" i="4"/>
  <c r="I45" i="4"/>
  <c r="G1" i="9"/>
  <c r="C1" i="9"/>
  <c r="D1" i="9"/>
  <c r="E1" i="9"/>
  <c r="F1" i="9"/>
  <c r="C37" i="9"/>
  <c r="C30" i="9"/>
  <c r="C38" i="9"/>
  <c r="D68" i="4"/>
  <c r="E68" i="4"/>
  <c r="F68" i="4"/>
  <c r="G68" i="4"/>
  <c r="H68" i="4"/>
  <c r="I68" i="4"/>
  <c r="J68" i="4"/>
  <c r="K68" i="4"/>
  <c r="L68" i="4"/>
  <c r="M68" i="4"/>
  <c r="N68" i="4"/>
  <c r="O68" i="4"/>
  <c r="P68" i="4"/>
  <c r="Q68" i="4"/>
  <c r="R68" i="4"/>
  <c r="S68" i="4"/>
  <c r="T68" i="4"/>
  <c r="U68" i="4"/>
  <c r="V68" i="4"/>
  <c r="W68" i="4"/>
  <c r="X68" i="4"/>
  <c r="Y68" i="4"/>
  <c r="Z68" i="4"/>
  <c r="AA68" i="4"/>
  <c r="AB68" i="4"/>
  <c r="AC68" i="4"/>
  <c r="AD68" i="4"/>
  <c r="AE68" i="4"/>
  <c r="AF68" i="4"/>
  <c r="AG68" i="4"/>
  <c r="AH68" i="4"/>
  <c r="AI68" i="4"/>
  <c r="AJ68" i="4"/>
  <c r="AK68" i="4"/>
  <c r="AL68" i="4"/>
  <c r="AM68" i="4"/>
  <c r="AN68" i="4"/>
  <c r="AO68" i="4"/>
  <c r="AP68" i="4"/>
  <c r="D70" i="4"/>
  <c r="E70" i="4"/>
  <c r="E82" i="4" s="1"/>
  <c r="F70" i="4"/>
  <c r="G70" i="4"/>
  <c r="H70" i="4"/>
  <c r="I70" i="4"/>
  <c r="J70" i="4"/>
  <c r="K70" i="4"/>
  <c r="L70" i="4"/>
  <c r="M70" i="4"/>
  <c r="N70" i="4"/>
  <c r="O70" i="4"/>
  <c r="P70" i="4"/>
  <c r="Q70" i="4"/>
  <c r="R70" i="4"/>
  <c r="S70" i="4"/>
  <c r="T70" i="4"/>
  <c r="U70" i="4"/>
  <c r="V70" i="4"/>
  <c r="W70" i="4"/>
  <c r="X70" i="4"/>
  <c r="Y70" i="4"/>
  <c r="Z70" i="4"/>
  <c r="AA70" i="4"/>
  <c r="AB70" i="4"/>
  <c r="AC70" i="4"/>
  <c r="AD70" i="4"/>
  <c r="AE70" i="4"/>
  <c r="AF70" i="4"/>
  <c r="AG70" i="4"/>
  <c r="AH70" i="4"/>
  <c r="AI70" i="4"/>
  <c r="AJ70" i="4"/>
  <c r="AK70" i="4"/>
  <c r="AL70" i="4"/>
  <c r="AM70" i="4"/>
  <c r="AN70" i="4"/>
  <c r="AO70" i="4"/>
  <c r="AP70" i="4"/>
  <c r="D71" i="4"/>
  <c r="E71" i="4"/>
  <c r="F71" i="4"/>
  <c r="G71" i="4"/>
  <c r="H71" i="4"/>
  <c r="I71" i="4"/>
  <c r="J71" i="4"/>
  <c r="K71" i="4"/>
  <c r="L71" i="4"/>
  <c r="M71" i="4"/>
  <c r="N71" i="4"/>
  <c r="O71" i="4"/>
  <c r="P71" i="4"/>
  <c r="Q71" i="4"/>
  <c r="R71" i="4"/>
  <c r="S71" i="4"/>
  <c r="T71" i="4"/>
  <c r="U71" i="4"/>
  <c r="V71" i="4"/>
  <c r="W71" i="4"/>
  <c r="X71" i="4"/>
  <c r="Y71" i="4"/>
  <c r="Z71" i="4"/>
  <c r="AA71" i="4"/>
  <c r="AB71" i="4"/>
  <c r="AC71" i="4"/>
  <c r="AD71" i="4"/>
  <c r="AE71" i="4"/>
  <c r="AF71" i="4"/>
  <c r="AG71" i="4"/>
  <c r="AH71" i="4"/>
  <c r="AI71" i="4"/>
  <c r="AJ71" i="4"/>
  <c r="AK71" i="4"/>
  <c r="AL71" i="4"/>
  <c r="AM71" i="4"/>
  <c r="AN71" i="4"/>
  <c r="AO71" i="4"/>
  <c r="AP71" i="4"/>
  <c r="D76" i="4"/>
  <c r="E76" i="4"/>
  <c r="F76" i="4"/>
  <c r="G76" i="4"/>
  <c r="H76" i="4"/>
  <c r="I76" i="4"/>
  <c r="J76" i="4"/>
  <c r="K76" i="4"/>
  <c r="L76" i="4"/>
  <c r="M76" i="4"/>
  <c r="N76" i="4"/>
  <c r="O76" i="4"/>
  <c r="P76" i="4"/>
  <c r="Q76" i="4"/>
  <c r="R76" i="4"/>
  <c r="S76" i="4"/>
  <c r="T76" i="4"/>
  <c r="U76" i="4"/>
  <c r="V76" i="4"/>
  <c r="W76" i="4"/>
  <c r="X76" i="4"/>
  <c r="Y76" i="4"/>
  <c r="Z76" i="4"/>
  <c r="AA76" i="4"/>
  <c r="AB76" i="4"/>
  <c r="AC76" i="4"/>
  <c r="AD76" i="4"/>
  <c r="AE76" i="4"/>
  <c r="AE66" i="4" s="1"/>
  <c r="AF76" i="4"/>
  <c r="AG76" i="4"/>
  <c r="AH76" i="4"/>
  <c r="AI76" i="4"/>
  <c r="AJ76" i="4"/>
  <c r="AK76" i="4"/>
  <c r="AL76" i="4"/>
  <c r="AM76" i="4"/>
  <c r="AN76" i="4"/>
  <c r="AO76" i="4"/>
  <c r="AP76" i="4"/>
  <c r="D77" i="4"/>
  <c r="E77" i="4"/>
  <c r="F77" i="4"/>
  <c r="G77" i="4"/>
  <c r="H77" i="4"/>
  <c r="I77" i="4"/>
  <c r="J77" i="4"/>
  <c r="K77" i="4"/>
  <c r="L77" i="4"/>
  <c r="M77" i="4"/>
  <c r="N77" i="4"/>
  <c r="O77" i="4"/>
  <c r="O83" i="4" s="1"/>
  <c r="P77" i="4"/>
  <c r="Q77" i="4"/>
  <c r="R77" i="4"/>
  <c r="S77" i="4"/>
  <c r="T77" i="4"/>
  <c r="U77" i="4"/>
  <c r="V77" i="4"/>
  <c r="W77" i="4"/>
  <c r="W83" i="4" s="1"/>
  <c r="X77" i="4"/>
  <c r="Y77" i="4"/>
  <c r="Z77" i="4"/>
  <c r="AA77" i="4"/>
  <c r="AB77" i="4"/>
  <c r="AC77" i="4"/>
  <c r="AD77" i="4"/>
  <c r="AE77" i="4"/>
  <c r="AE83" i="4" s="1"/>
  <c r="AF77" i="4"/>
  <c r="AG77" i="4"/>
  <c r="AH77" i="4"/>
  <c r="AI77" i="4"/>
  <c r="AJ77" i="4"/>
  <c r="AK77" i="4"/>
  <c r="AL77" i="4"/>
  <c r="AM77" i="4"/>
  <c r="AN77" i="4"/>
  <c r="AO77" i="4"/>
  <c r="AP77" i="4"/>
  <c r="D78" i="4"/>
  <c r="D65" i="4"/>
  <c r="E78" i="4"/>
  <c r="E65" i="4"/>
  <c r="F78" i="4"/>
  <c r="F65" i="4"/>
  <c r="G78" i="4"/>
  <c r="G65" i="4" s="1"/>
  <c r="H78" i="4"/>
  <c r="H65" i="4"/>
  <c r="I78" i="4"/>
  <c r="I65" i="4"/>
  <c r="J78" i="4"/>
  <c r="J65" i="4"/>
  <c r="K78" i="4"/>
  <c r="K65" i="4" s="1"/>
  <c r="L78" i="4"/>
  <c r="L65" i="4"/>
  <c r="M78" i="4"/>
  <c r="M65" i="4"/>
  <c r="N78" i="4"/>
  <c r="N65" i="4"/>
  <c r="O78" i="4"/>
  <c r="O65" i="4" s="1"/>
  <c r="P78" i="4"/>
  <c r="P65" i="4"/>
  <c r="Q78" i="4"/>
  <c r="Q65" i="4"/>
  <c r="R78" i="4"/>
  <c r="R65" i="4"/>
  <c r="S78" i="4"/>
  <c r="S65" i="4" s="1"/>
  <c r="T78" i="4"/>
  <c r="T65" i="4"/>
  <c r="U78" i="4"/>
  <c r="U65" i="4"/>
  <c r="V78" i="4"/>
  <c r="V65" i="4"/>
  <c r="W78" i="4"/>
  <c r="W65" i="4" s="1"/>
  <c r="X78" i="4"/>
  <c r="X65" i="4"/>
  <c r="Y78" i="4"/>
  <c r="Y65" i="4"/>
  <c r="Z78" i="4"/>
  <c r="Z65" i="4" s="1"/>
  <c r="AA78" i="4"/>
  <c r="AA65" i="4" s="1"/>
  <c r="AB78" i="4"/>
  <c r="AB65" i="4"/>
  <c r="AC78" i="4"/>
  <c r="AC65" i="4"/>
  <c r="AD78" i="4"/>
  <c r="AD65" i="4" s="1"/>
  <c r="AE78" i="4"/>
  <c r="AE65" i="4" s="1"/>
  <c r="AF78" i="4"/>
  <c r="AF65" i="4"/>
  <c r="AG78" i="4"/>
  <c r="AG65" i="4"/>
  <c r="AH78" i="4"/>
  <c r="AH65" i="4" s="1"/>
  <c r="AI78" i="4"/>
  <c r="AI65" i="4" s="1"/>
  <c r="AJ78" i="4"/>
  <c r="AJ65" i="4"/>
  <c r="AK78" i="4"/>
  <c r="AK65" i="4"/>
  <c r="AL78" i="4"/>
  <c r="AL65" i="4"/>
  <c r="AM78" i="4"/>
  <c r="AM65" i="4" s="1"/>
  <c r="AN78" i="4"/>
  <c r="AN65" i="4"/>
  <c r="AO78" i="4"/>
  <c r="AO65" i="4"/>
  <c r="AP78" i="4"/>
  <c r="AP65" i="4"/>
  <c r="C76" i="4"/>
  <c r="C77" i="4"/>
  <c r="B78" i="4"/>
  <c r="C78" i="4"/>
  <c r="C65" i="4" s="1"/>
  <c r="B77" i="4"/>
  <c r="B83" i="4"/>
  <c r="B102" i="4"/>
  <c r="B76" i="4"/>
  <c r="B101" i="4"/>
  <c r="C71" i="4"/>
  <c r="C96" i="4"/>
  <c r="C70" i="4"/>
  <c r="C95" i="4"/>
  <c r="C68" i="4"/>
  <c r="C93" i="4"/>
  <c r="B64" i="4"/>
  <c r="B66" i="4" s="1"/>
  <c r="B89" i="4"/>
  <c r="D53" i="9"/>
  <c r="D38" i="9"/>
  <c r="J72" i="4" s="1"/>
  <c r="D32" i="9"/>
  <c r="G69" i="4" s="1"/>
  <c r="D30" i="9"/>
  <c r="D45" i="9"/>
  <c r="B1" i="9"/>
  <c r="X145" i="4"/>
  <c r="Y145" i="4"/>
  <c r="Z145" i="4"/>
  <c r="AA145" i="4"/>
  <c r="AB145" i="4"/>
  <c r="X146" i="4"/>
  <c r="Y146" i="4"/>
  <c r="Z146" i="4"/>
  <c r="AA146" i="4"/>
  <c r="AB146" i="4"/>
  <c r="X151" i="4"/>
  <c r="Y151" i="4"/>
  <c r="Z151" i="4"/>
  <c r="AA151" i="4"/>
  <c r="AB151" i="4"/>
  <c r="X152" i="4"/>
  <c r="Y152" i="4"/>
  <c r="Z152" i="4"/>
  <c r="AA152" i="4"/>
  <c r="AB152" i="4"/>
  <c r="X153" i="4"/>
  <c r="X140" i="4"/>
  <c r="Y153" i="4"/>
  <c r="Y140" i="4" s="1"/>
  <c r="Z153" i="4"/>
  <c r="Z140" i="4"/>
  <c r="AA153" i="4"/>
  <c r="AA140" i="4" s="1"/>
  <c r="AB153" i="4"/>
  <c r="AB140" i="4" s="1"/>
  <c r="G30" i="9"/>
  <c r="D142" i="4" s="1"/>
  <c r="AB142" i="4"/>
  <c r="F30" i="9"/>
  <c r="Q117" i="4" s="1"/>
  <c r="G53" i="9"/>
  <c r="F53" i="9"/>
  <c r="E53" i="9"/>
  <c r="B99" i="4" s="1"/>
  <c r="B53" i="9"/>
  <c r="G49" i="4"/>
  <c r="B50" i="9"/>
  <c r="B148" i="4" s="1"/>
  <c r="B73" i="4"/>
  <c r="E145" i="4"/>
  <c r="F145" i="4"/>
  <c r="G145" i="4"/>
  <c r="H145" i="4"/>
  <c r="I145" i="4"/>
  <c r="J145" i="4"/>
  <c r="K145" i="4"/>
  <c r="L145" i="4"/>
  <c r="M145" i="4"/>
  <c r="N145" i="4"/>
  <c r="O145" i="4"/>
  <c r="P145" i="4"/>
  <c r="Q145" i="4"/>
  <c r="R145" i="4"/>
  <c r="S145" i="4"/>
  <c r="T145" i="4"/>
  <c r="U145" i="4"/>
  <c r="V145" i="4"/>
  <c r="W145" i="4"/>
  <c r="D145" i="4"/>
  <c r="C120" i="4"/>
  <c r="D120" i="4"/>
  <c r="E120" i="4"/>
  <c r="F120" i="4"/>
  <c r="G120" i="4"/>
  <c r="H120" i="4"/>
  <c r="I120" i="4"/>
  <c r="J120" i="4"/>
  <c r="K120" i="4"/>
  <c r="L120" i="4"/>
  <c r="M120" i="4"/>
  <c r="N120" i="4"/>
  <c r="O120" i="4"/>
  <c r="P120" i="4"/>
  <c r="Q120" i="4"/>
  <c r="R120" i="4"/>
  <c r="S120" i="4"/>
  <c r="T120" i="4"/>
  <c r="U120" i="4"/>
  <c r="V120" i="4"/>
  <c r="W120" i="4"/>
  <c r="X120" i="4"/>
  <c r="Y120" i="4"/>
  <c r="Z120" i="4"/>
  <c r="AA120" i="4"/>
  <c r="D95" i="4"/>
  <c r="E95" i="4"/>
  <c r="F95" i="4"/>
  <c r="G95" i="4"/>
  <c r="H95" i="4"/>
  <c r="I95" i="4"/>
  <c r="J95" i="4"/>
  <c r="K95" i="4"/>
  <c r="L95" i="4"/>
  <c r="M95" i="4"/>
  <c r="N95" i="4"/>
  <c r="O95" i="4"/>
  <c r="P95" i="4"/>
  <c r="Q95" i="4"/>
  <c r="R95" i="4"/>
  <c r="S95" i="4"/>
  <c r="T95" i="4"/>
  <c r="U95" i="4"/>
  <c r="V95" i="4"/>
  <c r="W95" i="4"/>
  <c r="X95" i="4"/>
  <c r="Y95" i="4"/>
  <c r="Z95" i="4"/>
  <c r="AA95" i="4"/>
  <c r="A2" i="9"/>
  <c r="A3" i="9"/>
  <c r="A4" i="9"/>
  <c r="A5" i="9"/>
  <c r="E30" i="9"/>
  <c r="C92" i="4" s="1"/>
  <c r="B55" i="14"/>
  <c r="B63" i="14" s="1"/>
  <c r="F59" i="14"/>
  <c r="N59" i="14"/>
  <c r="V59" i="14"/>
  <c r="G59" i="14"/>
  <c r="W59" i="14"/>
  <c r="H59" i="14"/>
  <c r="P59" i="14"/>
  <c r="X59" i="14"/>
  <c r="I59" i="14"/>
  <c r="Q59" i="14"/>
  <c r="R59" i="14"/>
  <c r="K59" i="14"/>
  <c r="J59" i="14"/>
  <c r="S59" i="14"/>
  <c r="L59" i="14"/>
  <c r="M59" i="14"/>
  <c r="U59" i="14"/>
  <c r="O59" i="14"/>
  <c r="T59" i="14"/>
  <c r="U57" i="14"/>
  <c r="J57" i="14"/>
  <c r="K57" i="14"/>
  <c r="W57" i="14"/>
  <c r="L57" i="14"/>
  <c r="M57" i="14"/>
  <c r="X57" i="14"/>
  <c r="Q57" i="14"/>
  <c r="F57" i="14"/>
  <c r="N57" i="14"/>
  <c r="R57" i="14"/>
  <c r="G57" i="14"/>
  <c r="O57" i="14"/>
  <c r="S57" i="14"/>
  <c r="H57" i="14"/>
  <c r="P57" i="14"/>
  <c r="T57" i="14"/>
  <c r="I57" i="14"/>
  <c r="V57" i="14"/>
  <c r="H49" i="4"/>
  <c r="C49" i="4"/>
  <c r="C48" i="4"/>
  <c r="D49" i="4"/>
  <c r="E49" i="4"/>
  <c r="B49" i="4"/>
  <c r="F49" i="4"/>
  <c r="F48" i="4"/>
  <c r="AL67" i="4"/>
  <c r="AK67" i="4"/>
  <c r="AP72" i="4"/>
  <c r="F67" i="4"/>
  <c r="E67" i="4"/>
  <c r="Q72" i="4"/>
  <c r="K72" i="4"/>
  <c r="R72" i="4"/>
  <c r="Y72" i="4"/>
  <c r="Z72" i="4"/>
  <c r="AG72" i="4"/>
  <c r="AH72" i="4"/>
  <c r="I72" i="4"/>
  <c r="AO72" i="4"/>
  <c r="AD67" i="4"/>
  <c r="AC67" i="4"/>
  <c r="V67" i="4"/>
  <c r="U67" i="4"/>
  <c r="N67" i="4"/>
  <c r="M67" i="4"/>
  <c r="C67" i="4"/>
  <c r="C72" i="4"/>
  <c r="AN72" i="4"/>
  <c r="AF72" i="4"/>
  <c r="X72" i="4"/>
  <c r="P72" i="4"/>
  <c r="H72" i="4"/>
  <c r="AJ67" i="4"/>
  <c r="AB67" i="4"/>
  <c r="T67" i="4"/>
  <c r="L67" i="4"/>
  <c r="D67" i="4"/>
  <c r="AM72" i="4"/>
  <c r="AE72" i="4"/>
  <c r="W72" i="4"/>
  <c r="O72" i="4"/>
  <c r="G72" i="4"/>
  <c r="AI67" i="4"/>
  <c r="AA67" i="4"/>
  <c r="S67" i="4"/>
  <c r="K67" i="4"/>
  <c r="AL72" i="4"/>
  <c r="AD72" i="4"/>
  <c r="V72" i="4"/>
  <c r="N72" i="4"/>
  <c r="F72" i="4"/>
  <c r="AP67" i="4"/>
  <c r="AH67" i="4"/>
  <c r="Z67" i="4"/>
  <c r="R67" i="4"/>
  <c r="J67" i="4"/>
  <c r="AK72" i="4"/>
  <c r="AC72" i="4"/>
  <c r="U72" i="4"/>
  <c r="M72" i="4"/>
  <c r="E72" i="4"/>
  <c r="AO67" i="4"/>
  <c r="AG67" i="4"/>
  <c r="Y67" i="4"/>
  <c r="Q67" i="4"/>
  <c r="I67" i="4"/>
  <c r="AJ72" i="4"/>
  <c r="AB72" i="4"/>
  <c r="T72" i="4"/>
  <c r="L72" i="4"/>
  <c r="D72" i="4"/>
  <c r="AN67" i="4"/>
  <c r="AF67" i="4"/>
  <c r="X67" i="4"/>
  <c r="P67" i="4"/>
  <c r="H67" i="4"/>
  <c r="AI72" i="4"/>
  <c r="AA72" i="4"/>
  <c r="S72" i="4"/>
  <c r="AM67" i="4"/>
  <c r="AE67" i="4"/>
  <c r="W67" i="4"/>
  <c r="O67" i="4"/>
  <c r="G67" i="4"/>
  <c r="AD69" i="4"/>
  <c r="AC69" i="4"/>
  <c r="AJ83" i="4"/>
  <c r="AB83" i="4"/>
  <c r="T83" i="4"/>
  <c r="L83" i="4"/>
  <c r="D83" i="4"/>
  <c r="AP83" i="4"/>
  <c r="AH83" i="4"/>
  <c r="Z83" i="4"/>
  <c r="R83" i="4"/>
  <c r="J83" i="4"/>
  <c r="V69" i="4"/>
  <c r="AO83" i="4"/>
  <c r="AG83" i="4"/>
  <c r="Y83" i="4"/>
  <c r="Q83" i="4"/>
  <c r="I83" i="4"/>
  <c r="U69" i="4"/>
  <c r="C69" i="4"/>
  <c r="N69" i="4"/>
  <c r="AM83" i="4"/>
  <c r="G83" i="4"/>
  <c r="M69" i="4"/>
  <c r="B91" i="4"/>
  <c r="AL83" i="4"/>
  <c r="AD83" i="4"/>
  <c r="V83" i="4"/>
  <c r="N83" i="4"/>
  <c r="F83" i="4"/>
  <c r="AL69" i="4"/>
  <c r="F69" i="4"/>
  <c r="AK83" i="4"/>
  <c r="AC83" i="4"/>
  <c r="U83" i="4"/>
  <c r="M83" i="4"/>
  <c r="E83" i="4"/>
  <c r="AK69" i="4"/>
  <c r="E69" i="4"/>
  <c r="F66" i="4"/>
  <c r="E66" i="4"/>
  <c r="AM66" i="4"/>
  <c r="H66" i="4"/>
  <c r="AJ69" i="4"/>
  <c r="AB69" i="4"/>
  <c r="T69" i="4"/>
  <c r="L69" i="4"/>
  <c r="D69" i="4"/>
  <c r="AI69" i="4"/>
  <c r="AA69" i="4"/>
  <c r="S69" i="4"/>
  <c r="K69" i="4"/>
  <c r="AP69" i="4"/>
  <c r="AH69" i="4"/>
  <c r="Z69" i="4"/>
  <c r="R69" i="4"/>
  <c r="J69" i="4"/>
  <c r="AO69" i="4"/>
  <c r="AG69" i="4"/>
  <c r="Y69" i="4"/>
  <c r="Q69" i="4"/>
  <c r="I69" i="4"/>
  <c r="AN69" i="4"/>
  <c r="AF69" i="4"/>
  <c r="X69" i="4"/>
  <c r="P69" i="4"/>
  <c r="H69" i="4"/>
  <c r="AM69" i="4"/>
  <c r="AE69" i="4"/>
  <c r="W69" i="4"/>
  <c r="O69" i="4"/>
  <c r="AB158" i="4"/>
  <c r="AA142" i="4"/>
  <c r="Z142" i="4"/>
  <c r="Y142" i="4"/>
  <c r="X142" i="4"/>
  <c r="AA158" i="4"/>
  <c r="Z158" i="4"/>
  <c r="Y158" i="4"/>
  <c r="X158" i="4"/>
  <c r="F38" i="9"/>
  <c r="G38" i="9"/>
  <c r="E38" i="9"/>
  <c r="C97" i="4" s="1"/>
  <c r="C102" i="4"/>
  <c r="E101" i="4"/>
  <c r="D101" i="4"/>
  <c r="E45" i="9"/>
  <c r="F45" i="9"/>
  <c r="G45" i="9"/>
  <c r="B45" i="9"/>
  <c r="B152" i="4"/>
  <c r="B158" i="4" s="1"/>
  <c r="C152" i="4"/>
  <c r="C158" i="4"/>
  <c r="C28" i="4"/>
  <c r="D28" i="4"/>
  <c r="E28" i="4"/>
  <c r="F28" i="4"/>
  <c r="G28" i="4"/>
  <c r="H28" i="4"/>
  <c r="I28" i="4"/>
  <c r="J28" i="4"/>
  <c r="K28" i="4"/>
  <c r="L28" i="4"/>
  <c r="M28" i="4"/>
  <c r="N28" i="4"/>
  <c r="O28" i="4"/>
  <c r="P28"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AW28" i="4"/>
  <c r="AX28" i="4"/>
  <c r="AY28" i="4"/>
  <c r="AZ28" i="4"/>
  <c r="BA28" i="4"/>
  <c r="BB28" i="4"/>
  <c r="BC28" i="4"/>
  <c r="BD28" i="4"/>
  <c r="BE28" i="4"/>
  <c r="BF28" i="4"/>
  <c r="BG28" i="4"/>
  <c r="BH28" i="4"/>
  <c r="BI28" i="4"/>
  <c r="BJ28" i="4"/>
  <c r="BK28" i="4"/>
  <c r="BL28" i="4"/>
  <c r="BM28" i="4"/>
  <c r="BN28" i="4"/>
  <c r="BO28" i="4"/>
  <c r="BP28" i="4"/>
  <c r="B28" i="4"/>
  <c r="E142" i="4"/>
  <c r="F142" i="4"/>
  <c r="G142" i="4"/>
  <c r="H142" i="4"/>
  <c r="I142" i="4"/>
  <c r="J142" i="4"/>
  <c r="K142" i="4"/>
  <c r="L142" i="4"/>
  <c r="M142" i="4"/>
  <c r="N142" i="4"/>
  <c r="O142" i="4"/>
  <c r="P142" i="4"/>
  <c r="Q142" i="4"/>
  <c r="R142" i="4"/>
  <c r="S142" i="4"/>
  <c r="T142" i="4"/>
  <c r="U142" i="4"/>
  <c r="V142" i="4"/>
  <c r="W142" i="4"/>
  <c r="E151" i="4"/>
  <c r="F151" i="4"/>
  <c r="G151" i="4"/>
  <c r="H151" i="4"/>
  <c r="I151" i="4"/>
  <c r="J151" i="4"/>
  <c r="K151" i="4"/>
  <c r="L151" i="4"/>
  <c r="M151" i="4"/>
  <c r="N151" i="4"/>
  <c r="O151" i="4"/>
  <c r="P151" i="4"/>
  <c r="Q151" i="4"/>
  <c r="R151" i="4"/>
  <c r="S151" i="4"/>
  <c r="T151" i="4"/>
  <c r="U151" i="4"/>
  <c r="V151" i="4"/>
  <c r="W151" i="4"/>
  <c r="E152" i="4"/>
  <c r="F152" i="4"/>
  <c r="G152" i="4"/>
  <c r="H152" i="4"/>
  <c r="I152" i="4"/>
  <c r="J152" i="4"/>
  <c r="K152" i="4"/>
  <c r="L152" i="4"/>
  <c r="M152" i="4"/>
  <c r="N152" i="4"/>
  <c r="O152" i="4"/>
  <c r="P152" i="4"/>
  <c r="Q152" i="4"/>
  <c r="R152" i="4"/>
  <c r="S152" i="4"/>
  <c r="T152" i="4"/>
  <c r="U152" i="4"/>
  <c r="V152" i="4"/>
  <c r="W152" i="4"/>
  <c r="D92" i="4"/>
  <c r="B103" i="4"/>
  <c r="C101" i="4"/>
  <c r="C91" i="4"/>
  <c r="F101" i="4"/>
  <c r="G101" i="4"/>
  <c r="H101" i="4"/>
  <c r="I101" i="4"/>
  <c r="J101" i="4"/>
  <c r="K101" i="4"/>
  <c r="L101" i="4"/>
  <c r="M101" i="4"/>
  <c r="N101" i="4"/>
  <c r="O101" i="4"/>
  <c r="P101" i="4"/>
  <c r="Q101" i="4"/>
  <c r="R101" i="4"/>
  <c r="S101" i="4"/>
  <c r="T101" i="4"/>
  <c r="U101" i="4"/>
  <c r="V101" i="4"/>
  <c r="W101" i="4"/>
  <c r="X101" i="4"/>
  <c r="Y101" i="4"/>
  <c r="Z101" i="4"/>
  <c r="AA101" i="4"/>
  <c r="E23" i="2"/>
  <c r="U12" i="8"/>
  <c r="C12" i="8"/>
  <c r="L14" i="8"/>
  <c r="L15" i="8"/>
  <c r="K14" i="8"/>
  <c r="K15" i="8"/>
  <c r="J14" i="8"/>
  <c r="J15" i="8"/>
  <c r="I15" i="8"/>
  <c r="I14" i="8"/>
  <c r="E146" i="4"/>
  <c r="F146" i="4"/>
  <c r="G146" i="4"/>
  <c r="H146" i="4"/>
  <c r="I146" i="4"/>
  <c r="J146" i="4"/>
  <c r="K146" i="4"/>
  <c r="L146" i="4"/>
  <c r="M146" i="4"/>
  <c r="N146" i="4"/>
  <c r="O146" i="4"/>
  <c r="P146" i="4"/>
  <c r="Q146" i="4"/>
  <c r="R146" i="4"/>
  <c r="S146" i="4"/>
  <c r="T146" i="4"/>
  <c r="U146" i="4"/>
  <c r="V146" i="4"/>
  <c r="W146" i="4"/>
  <c r="L153" i="4"/>
  <c r="L140" i="4" s="1"/>
  <c r="D96" i="4"/>
  <c r="E96" i="4"/>
  <c r="F96" i="4"/>
  <c r="G96" i="4"/>
  <c r="H96" i="4"/>
  <c r="I96" i="4"/>
  <c r="J96" i="4"/>
  <c r="K96" i="4"/>
  <c r="L96" i="4"/>
  <c r="M96" i="4"/>
  <c r="N96" i="4"/>
  <c r="O96" i="4"/>
  <c r="P96" i="4"/>
  <c r="Q96" i="4"/>
  <c r="R96" i="4"/>
  <c r="S96" i="4"/>
  <c r="T96" i="4"/>
  <c r="U96" i="4"/>
  <c r="V96" i="4"/>
  <c r="W96" i="4"/>
  <c r="X96" i="4"/>
  <c r="Y96" i="4"/>
  <c r="Z96" i="4"/>
  <c r="AA96" i="4"/>
  <c r="AB9" i="8"/>
  <c r="AA9" i="8"/>
  <c r="Z9" i="8"/>
  <c r="Y9" i="8"/>
  <c r="X9" i="8"/>
  <c r="W9" i="8"/>
  <c r="V9" i="8"/>
  <c r="U9" i="8"/>
  <c r="M9" i="8"/>
  <c r="L9" i="8"/>
  <c r="K9" i="8"/>
  <c r="J9" i="8"/>
  <c r="I9" i="8"/>
  <c r="H9" i="8"/>
  <c r="I27" i="9"/>
  <c r="G9" i="8"/>
  <c r="F9" i="8"/>
  <c r="E9" i="8"/>
  <c r="D9" i="8"/>
  <c r="C9" i="8"/>
  <c r="J42" i="9"/>
  <c r="J38" i="9" s="1"/>
  <c r="J41" i="9"/>
  <c r="J31" i="9"/>
  <c r="J30" i="9"/>
  <c r="J27" i="9"/>
  <c r="J24" i="9"/>
  <c r="J23" i="9"/>
  <c r="I41" i="9"/>
  <c r="I42" i="9"/>
  <c r="I38" i="9" s="1"/>
  <c r="I31" i="9"/>
  <c r="I23" i="9"/>
  <c r="H42" i="9"/>
  <c r="H41" i="9"/>
  <c r="H32" i="9"/>
  <c r="H31" i="9"/>
  <c r="H27" i="9"/>
  <c r="H23" i="9"/>
  <c r="G32" i="9"/>
  <c r="D144" i="4" s="1"/>
  <c r="G31" i="9"/>
  <c r="D143" i="4" s="1"/>
  <c r="F41" i="9"/>
  <c r="B124" i="4"/>
  <c r="F32" i="9"/>
  <c r="F31" i="9"/>
  <c r="S103" i="4"/>
  <c r="S90" i="4" s="1"/>
  <c r="E32" i="9"/>
  <c r="G94" i="4" s="1"/>
  <c r="B108" i="4"/>
  <c r="Q17" i="8"/>
  <c r="M17" i="8"/>
  <c r="M16" i="8"/>
  <c r="Q16" i="8"/>
  <c r="U13" i="8"/>
  <c r="M13" i="8"/>
  <c r="C13" i="8"/>
  <c r="X11" i="8"/>
  <c r="W11" i="8"/>
  <c r="V11" i="8"/>
  <c r="U11" i="8"/>
  <c r="H11" i="8"/>
  <c r="I30" i="9" s="1"/>
  <c r="G11" i="8"/>
  <c r="H30" i="9" s="1"/>
  <c r="F11" i="8"/>
  <c r="E11" i="8"/>
  <c r="D11" i="8"/>
  <c r="C11" i="8"/>
  <c r="X5" i="8"/>
  <c r="W5" i="8"/>
  <c r="V5" i="8"/>
  <c r="U5" i="8"/>
  <c r="V22" i="8"/>
  <c r="U21" i="6"/>
  <c r="M7" i="8"/>
  <c r="C5" i="8"/>
  <c r="F5" i="8"/>
  <c r="E5" i="8"/>
  <c r="D5" i="8"/>
  <c r="E5" i="6"/>
  <c r="D5" i="6"/>
  <c r="C5" i="6"/>
  <c r="B5" i="6"/>
  <c r="P102" i="4"/>
  <c r="C103" i="4"/>
  <c r="C90" i="4" s="1"/>
  <c r="V153" i="4"/>
  <c r="H103" i="4"/>
  <c r="H90" i="4"/>
  <c r="S153" i="4"/>
  <c r="S140" i="4"/>
  <c r="R153" i="4"/>
  <c r="R140" i="4"/>
  <c r="X103" i="4"/>
  <c r="X90" i="4" s="1"/>
  <c r="N153" i="4"/>
  <c r="N140" i="4"/>
  <c r="J92" i="4"/>
  <c r="W103" i="4"/>
  <c r="K153" i="4"/>
  <c r="K140" i="4"/>
  <c r="J153" i="4"/>
  <c r="J140" i="4" s="1"/>
  <c r="G103" i="4"/>
  <c r="G90" i="4"/>
  <c r="F153" i="4"/>
  <c r="I93" i="4"/>
  <c r="Q93" i="4"/>
  <c r="Y93" i="4"/>
  <c r="J93" i="4"/>
  <c r="R93" i="4"/>
  <c r="Z93" i="4"/>
  <c r="D93" i="4"/>
  <c r="L93" i="4"/>
  <c r="T93" i="4"/>
  <c r="E93" i="4"/>
  <c r="M93" i="4"/>
  <c r="U93" i="4"/>
  <c r="F93" i="4"/>
  <c r="N93" i="4"/>
  <c r="V93" i="4"/>
  <c r="K93" i="4"/>
  <c r="O93" i="4"/>
  <c r="P93" i="4"/>
  <c r="S93" i="4"/>
  <c r="W93" i="4"/>
  <c r="X93" i="4"/>
  <c r="O102" i="4"/>
  <c r="G93" i="4"/>
  <c r="M92" i="4"/>
  <c r="I102" i="4"/>
  <c r="Q102" i="4"/>
  <c r="Y102" i="4"/>
  <c r="Y108" i="4" s="1"/>
  <c r="J102" i="4"/>
  <c r="R102" i="4"/>
  <c r="Z102" i="4"/>
  <c r="E102" i="4"/>
  <c r="M102" i="4"/>
  <c r="U102" i="4"/>
  <c r="F102" i="4"/>
  <c r="N102" i="4"/>
  <c r="N108" i="4" s="1"/>
  <c r="V102" i="4"/>
  <c r="S102" i="4"/>
  <c r="D102" i="4"/>
  <c r="T102" i="4"/>
  <c r="G102" i="4"/>
  <c r="W102" i="4"/>
  <c r="H102" i="4"/>
  <c r="X102" i="4"/>
  <c r="X108" i="4" s="1"/>
  <c r="K102" i="4"/>
  <c r="AA102" i="4"/>
  <c r="L102" i="4"/>
  <c r="H93" i="4"/>
  <c r="K92" i="4"/>
  <c r="S92" i="4"/>
  <c r="AA92" i="4"/>
  <c r="L92" i="4"/>
  <c r="T92" i="4"/>
  <c r="F92" i="4"/>
  <c r="N92" i="4"/>
  <c r="V92" i="4"/>
  <c r="G92" i="4"/>
  <c r="O92" i="4"/>
  <c r="W92" i="4"/>
  <c r="H92" i="4"/>
  <c r="P92" i="4"/>
  <c r="X92" i="4"/>
  <c r="Q92" i="4"/>
  <c r="R92" i="4"/>
  <c r="U92" i="4"/>
  <c r="Y92" i="4"/>
  <c r="E92" i="4"/>
  <c r="Z92" i="4"/>
  <c r="I92" i="4"/>
  <c r="AA93" i="4"/>
  <c r="T103" i="4"/>
  <c r="T90" i="4"/>
  <c r="D103" i="4"/>
  <c r="D90" i="4"/>
  <c r="I103" i="4"/>
  <c r="I90" i="4"/>
  <c r="Q103" i="4"/>
  <c r="Q90" i="4" s="1"/>
  <c r="Y103" i="4"/>
  <c r="Y90" i="4"/>
  <c r="J103" i="4"/>
  <c r="J90" i="4"/>
  <c r="R103" i="4"/>
  <c r="E103" i="4"/>
  <c r="E90" i="4" s="1"/>
  <c r="M103" i="4"/>
  <c r="M90" i="4" s="1"/>
  <c r="U103" i="4"/>
  <c r="U90" i="4"/>
  <c r="F103" i="4"/>
  <c r="F90" i="4"/>
  <c r="N103" i="4"/>
  <c r="N90" i="4"/>
  <c r="V103" i="4"/>
  <c r="V90" i="4" s="1"/>
  <c r="P103" i="4"/>
  <c r="P90" i="4"/>
  <c r="O103" i="4"/>
  <c r="O90" i="4"/>
  <c r="AA103" i="4"/>
  <c r="AA90" i="4"/>
  <c r="L103" i="4"/>
  <c r="L90" i="4" s="1"/>
  <c r="Z103" i="4"/>
  <c r="Z90" i="4"/>
  <c r="K103" i="4"/>
  <c r="K90" i="4"/>
  <c r="Q153" i="4"/>
  <c r="Q140" i="4"/>
  <c r="I153" i="4"/>
  <c r="I140" i="4" s="1"/>
  <c r="P153" i="4"/>
  <c r="P140" i="4"/>
  <c r="H153" i="4"/>
  <c r="H140" i="4"/>
  <c r="W153" i="4"/>
  <c r="W140" i="4"/>
  <c r="O153" i="4"/>
  <c r="O140" i="4" s="1"/>
  <c r="G153" i="4"/>
  <c r="U153" i="4"/>
  <c r="U140" i="4" s="1"/>
  <c r="M153" i="4"/>
  <c r="M140" i="4"/>
  <c r="E153" i="4"/>
  <c r="E140" i="4" s="1"/>
  <c r="T153" i="4"/>
  <c r="T140" i="4" s="1"/>
  <c r="J6" i="4"/>
  <c r="H158" i="4"/>
  <c r="E80" i="4"/>
  <c r="D158" i="4"/>
  <c r="E79" i="4"/>
  <c r="AA94" i="4"/>
  <c r="C94" i="4"/>
  <c r="E94" i="4"/>
  <c r="D94" i="4"/>
  <c r="B23" i="4"/>
  <c r="C23" i="4"/>
  <c r="G23" i="4"/>
  <c r="D23" i="4"/>
  <c r="E23" i="4"/>
  <c r="H23" i="4"/>
  <c r="F23" i="4"/>
  <c r="U144" i="4"/>
  <c r="L143" i="4"/>
  <c r="Y143" i="4"/>
  <c r="X143" i="4"/>
  <c r="Z143" i="4"/>
  <c r="AA143" i="4"/>
  <c r="AB143" i="4"/>
  <c r="D24" i="4"/>
  <c r="B24" i="4"/>
  <c r="C24" i="4"/>
  <c r="E24" i="4"/>
  <c r="H24" i="4"/>
  <c r="F24" i="4"/>
  <c r="G24" i="4"/>
  <c r="S158" i="4"/>
  <c r="H144" i="4"/>
  <c r="AB144" i="4"/>
  <c r="Z144" i="4"/>
  <c r="AA144" i="4"/>
  <c r="X144" i="4"/>
  <c r="Y144" i="4"/>
  <c r="X94" i="4"/>
  <c r="B157" i="4"/>
  <c r="B155" i="4"/>
  <c r="F94" i="4"/>
  <c r="K158" i="4"/>
  <c r="N144" i="4"/>
  <c r="J108" i="4"/>
  <c r="T158" i="4"/>
  <c r="P108" i="4"/>
  <c r="I158" i="4"/>
  <c r="O108" i="4"/>
  <c r="L20" i="4"/>
  <c r="T20" i="4"/>
  <c r="AB20" i="4"/>
  <c r="AJ20" i="4"/>
  <c r="AR20" i="4"/>
  <c r="AZ20" i="4"/>
  <c r="BH20" i="4"/>
  <c r="BP20" i="4"/>
  <c r="BL20" i="4"/>
  <c r="R20" i="4"/>
  <c r="AI20" i="4"/>
  <c r="M20" i="4"/>
  <c r="U20" i="4"/>
  <c r="AC20" i="4"/>
  <c r="AK20" i="4"/>
  <c r="AS20" i="4"/>
  <c r="BA20" i="4"/>
  <c r="BI20" i="4"/>
  <c r="I20" i="4"/>
  <c r="AP20" i="4"/>
  <c r="N20" i="4"/>
  <c r="V20" i="4"/>
  <c r="AD20" i="4"/>
  <c r="AL20" i="4"/>
  <c r="AT20" i="4"/>
  <c r="BB20" i="4"/>
  <c r="BJ20" i="4"/>
  <c r="J20" i="4"/>
  <c r="AX20" i="4"/>
  <c r="AQ20" i="4"/>
  <c r="O20" i="4"/>
  <c r="W20" i="4"/>
  <c r="AE20" i="4"/>
  <c r="AM20" i="4"/>
  <c r="AU20" i="4"/>
  <c r="BC20" i="4"/>
  <c r="BK20" i="4"/>
  <c r="AH20" i="4"/>
  <c r="P20" i="4"/>
  <c r="X20" i="4"/>
  <c r="AF20" i="4"/>
  <c r="AN20" i="4"/>
  <c r="AV20" i="4"/>
  <c r="BD20" i="4"/>
  <c r="BF20" i="4"/>
  <c r="K20" i="4"/>
  <c r="AA20" i="4"/>
  <c r="BG20" i="4"/>
  <c r="Q20" i="4"/>
  <c r="Y20" i="4"/>
  <c r="AG20" i="4"/>
  <c r="AO20" i="4"/>
  <c r="AW20" i="4"/>
  <c r="BE20" i="4"/>
  <c r="BM20" i="4"/>
  <c r="Z20" i="4"/>
  <c r="BN20" i="4"/>
  <c r="S20" i="4"/>
  <c r="AY20" i="4"/>
  <c r="BO20" i="4"/>
  <c r="H108" i="4"/>
  <c r="I108" i="4"/>
  <c r="M108" i="4"/>
  <c r="AA114" i="4"/>
  <c r="S108" i="4"/>
  <c r="J158" i="4"/>
  <c r="R158" i="4"/>
  <c r="W158" i="4"/>
  <c r="AA108" i="4"/>
  <c r="C155" i="4"/>
  <c r="U108" i="4"/>
  <c r="F108" i="4"/>
  <c r="T108" i="4"/>
  <c r="L108" i="4"/>
  <c r="G108" i="4"/>
  <c r="K108" i="4"/>
  <c r="G143" i="4"/>
  <c r="V143" i="4"/>
  <c r="R108" i="4"/>
  <c r="N143" i="4"/>
  <c r="Z94" i="4"/>
  <c r="E144" i="4"/>
  <c r="F143" i="4"/>
  <c r="E141" i="4"/>
  <c r="W94" i="4"/>
  <c r="R94" i="4"/>
  <c r="G158" i="4"/>
  <c r="S144" i="4"/>
  <c r="E143" i="4"/>
  <c r="O94" i="4"/>
  <c r="Q94" i="4"/>
  <c r="Q108" i="4"/>
  <c r="O158" i="4"/>
  <c r="O144" i="4"/>
  <c r="R144" i="4"/>
  <c r="Q143" i="4"/>
  <c r="V94" i="4"/>
  <c r="G144" i="4"/>
  <c r="J144" i="4"/>
  <c r="S143" i="4"/>
  <c r="N94" i="4"/>
  <c r="Q144" i="4"/>
  <c r="I143" i="4"/>
  <c r="K143" i="4"/>
  <c r="E158" i="4"/>
  <c r="M158" i="4"/>
  <c r="U158" i="4"/>
  <c r="W108" i="4"/>
  <c r="E108" i="4"/>
  <c r="C108" i="4"/>
  <c r="Z108" i="4"/>
  <c r="F147" i="4"/>
  <c r="W147" i="4"/>
  <c r="K97" i="4"/>
  <c r="S97" i="4"/>
  <c r="AA97" i="4"/>
  <c r="L97" i="4"/>
  <c r="T97" i="4"/>
  <c r="Q97" i="4"/>
  <c r="Z97" i="4"/>
  <c r="D97" i="4"/>
  <c r="H97" i="4"/>
  <c r="P97" i="4"/>
  <c r="X97" i="4"/>
  <c r="J97" i="4"/>
  <c r="E97" i="4"/>
  <c r="M97" i="4"/>
  <c r="U97" i="4"/>
  <c r="F97" i="4"/>
  <c r="N97" i="4"/>
  <c r="V97" i="4"/>
  <c r="G97" i="4"/>
  <c r="O97" i="4"/>
  <c r="W97" i="4"/>
  <c r="Y97" i="4"/>
  <c r="R97" i="4"/>
  <c r="I97" i="4"/>
  <c r="S94" i="4"/>
  <c r="U94" i="4"/>
  <c r="J94" i="4"/>
  <c r="P144" i="4"/>
  <c r="T144" i="4"/>
  <c r="W143" i="4"/>
  <c r="U143" i="4"/>
  <c r="R143" i="4"/>
  <c r="P94" i="4"/>
  <c r="M94" i="4"/>
  <c r="Y94" i="4"/>
  <c r="V144" i="4"/>
  <c r="L144" i="4"/>
  <c r="O143" i="4"/>
  <c r="M143" i="4"/>
  <c r="J143" i="4"/>
  <c r="H38" i="9"/>
  <c r="K94" i="4"/>
  <c r="T94" i="4"/>
  <c r="I94" i="4"/>
  <c r="V108" i="4"/>
  <c r="Q158" i="4"/>
  <c r="F144" i="4"/>
  <c r="K144" i="4"/>
  <c r="P143" i="4"/>
  <c r="T143" i="4"/>
  <c r="H94" i="4"/>
  <c r="L94" i="4"/>
  <c r="L158" i="4"/>
  <c r="P158" i="4"/>
  <c r="W144" i="4"/>
  <c r="I144" i="4"/>
  <c r="H143" i="4"/>
  <c r="B131" i="4"/>
  <c r="R90" i="4"/>
  <c r="G140" i="4"/>
  <c r="F140" i="4"/>
  <c r="H141" i="4" s="1"/>
  <c r="V140" i="4"/>
  <c r="W90" i="4"/>
  <c r="C157" i="4"/>
  <c r="B132" i="4"/>
  <c r="B129" i="4"/>
  <c r="B105" i="4"/>
  <c r="B106" i="4"/>
  <c r="B107" i="4"/>
  <c r="L141" i="4"/>
  <c r="V91" i="4"/>
  <c r="K91" i="4"/>
  <c r="K105" i="4" s="1"/>
  <c r="V107" i="4"/>
  <c r="K104" i="4"/>
  <c r="AE82" i="4" l="1"/>
  <c r="AE80" i="4"/>
  <c r="AE79" i="4"/>
  <c r="AE81" i="4"/>
  <c r="H157" i="4"/>
  <c r="H154" i="4"/>
  <c r="E91" i="4"/>
  <c r="Q91" i="4"/>
  <c r="C107" i="4"/>
  <c r="M91" i="4"/>
  <c r="C104" i="4"/>
  <c r="Y91" i="4"/>
  <c r="D91" i="4"/>
  <c r="S91" i="4"/>
  <c r="T91" i="4"/>
  <c r="U91" i="4"/>
  <c r="AA91" i="4"/>
  <c r="J91" i="4"/>
  <c r="R91" i="4"/>
  <c r="F91" i="4"/>
  <c r="C105" i="4"/>
  <c r="H91" i="4"/>
  <c r="Z91" i="4"/>
  <c r="L91" i="4"/>
  <c r="G91" i="4"/>
  <c r="W91" i="4"/>
  <c r="N91" i="4"/>
  <c r="O91" i="4"/>
  <c r="L154" i="4"/>
  <c r="L156" i="4"/>
  <c r="D147" i="4"/>
  <c r="Z147" i="4"/>
  <c r="P147" i="4"/>
  <c r="E147" i="4"/>
  <c r="E155" i="4" s="1"/>
  <c r="I147" i="4"/>
  <c r="T147" i="4"/>
  <c r="V147" i="4"/>
  <c r="Q147" i="4"/>
  <c r="N147" i="4"/>
  <c r="O147" i="4"/>
  <c r="J147" i="4"/>
  <c r="G147" i="4"/>
  <c r="H147" i="4"/>
  <c r="AB147" i="4"/>
  <c r="R147" i="4"/>
  <c r="M147" i="4"/>
  <c r="X147" i="4"/>
  <c r="K147" i="4"/>
  <c r="U147" i="4"/>
  <c r="Y147" i="4"/>
  <c r="AA147" i="4"/>
  <c r="S147" i="4"/>
  <c r="L147" i="4"/>
  <c r="L155" i="4" s="1"/>
  <c r="V141" i="4"/>
  <c r="V154" i="4" s="1"/>
  <c r="T156" i="4"/>
  <c r="T157" i="4"/>
  <c r="C106" i="4"/>
  <c r="K107" i="4"/>
  <c r="I91" i="4"/>
  <c r="K106" i="4"/>
  <c r="V106" i="4"/>
  <c r="V104" i="4"/>
  <c r="V105" i="4"/>
  <c r="AM80" i="4"/>
  <c r="AM81" i="4"/>
  <c r="AM82" i="4"/>
  <c r="AM79" i="4"/>
  <c r="AD80" i="4"/>
  <c r="K82" i="4"/>
  <c r="AA66" i="4"/>
  <c r="AL66" i="4"/>
  <c r="AL82" i="4" s="1"/>
  <c r="Y66" i="4"/>
  <c r="F82" i="4"/>
  <c r="X66" i="4"/>
  <c r="X79" i="4" s="1"/>
  <c r="P66" i="4"/>
  <c r="P79" i="4" s="1"/>
  <c r="S66" i="4"/>
  <c r="AF66" i="4"/>
  <c r="AF81" i="4" s="1"/>
  <c r="Q66" i="4"/>
  <c r="AG66" i="4"/>
  <c r="L66" i="4"/>
  <c r="Z66" i="4"/>
  <c r="J66" i="4"/>
  <c r="AN66" i="4"/>
  <c r="AN80" i="4" s="1"/>
  <c r="AB66" i="4"/>
  <c r="R66" i="4"/>
  <c r="AD66" i="4"/>
  <c r="AD82" i="4" s="1"/>
  <c r="AH66" i="4"/>
  <c r="AH82" i="4" s="1"/>
  <c r="T66" i="4"/>
  <c r="AJ66" i="4"/>
  <c r="K66" i="4"/>
  <c r="K81" i="4" s="1"/>
  <c r="F80" i="4"/>
  <c r="F81" i="4"/>
  <c r="AO66" i="4"/>
  <c r="AC66" i="4"/>
  <c r="M66" i="4"/>
  <c r="I66" i="4"/>
  <c r="AI66" i="4"/>
  <c r="U66" i="4"/>
  <c r="AP66" i="4"/>
  <c r="AK66" i="4"/>
  <c r="AN81" i="4"/>
  <c r="AN83" i="4"/>
  <c r="AF83" i="4"/>
  <c r="AF80" i="4"/>
  <c r="X81" i="4"/>
  <c r="X83" i="4"/>
  <c r="X80" i="4"/>
  <c r="X82" i="4"/>
  <c r="P83" i="4"/>
  <c r="P81" i="4"/>
  <c r="P82" i="4"/>
  <c r="H79" i="4"/>
  <c r="H80" i="4"/>
  <c r="H82" i="4"/>
  <c r="H83" i="4"/>
  <c r="H81" i="4"/>
  <c r="W66" i="4"/>
  <c r="G66" i="4"/>
  <c r="V158" i="4"/>
  <c r="N158" i="4"/>
  <c r="F158" i="4"/>
  <c r="Q141" i="4"/>
  <c r="F141" i="4"/>
  <c r="W141" i="4"/>
  <c r="X141" i="4"/>
  <c r="K141" i="4"/>
  <c r="AB141" i="4"/>
  <c r="S141" i="4"/>
  <c r="P141" i="4"/>
  <c r="T141" i="4"/>
  <c r="Y141" i="4"/>
  <c r="Z141" i="4"/>
  <c r="J141" i="4"/>
  <c r="J154" i="4" s="1"/>
  <c r="U141" i="4"/>
  <c r="D155" i="4"/>
  <c r="X91" i="4"/>
  <c r="X105" i="4" s="1"/>
  <c r="P91" i="4"/>
  <c r="I141" i="4"/>
  <c r="E81" i="4"/>
  <c r="AC80" i="4"/>
  <c r="AC81" i="4"/>
  <c r="AC79" i="4"/>
  <c r="AC82" i="4"/>
  <c r="Q74" i="14"/>
  <c r="AG74" i="14"/>
  <c r="F74" i="14"/>
  <c r="Y74" i="14"/>
  <c r="L74" i="14"/>
  <c r="N74" i="14"/>
  <c r="AC74" i="14"/>
  <c r="AE74" i="14"/>
  <c r="T74" i="14"/>
  <c r="V74" i="14"/>
  <c r="D74" i="14"/>
  <c r="H74" i="14"/>
  <c r="J74" i="14"/>
  <c r="Z74" i="14"/>
  <c r="AB74" i="14"/>
  <c r="P74" i="14"/>
  <c r="R74" i="14"/>
  <c r="E74" i="14"/>
  <c r="G74" i="14"/>
  <c r="X74" i="14"/>
  <c r="AF74" i="14"/>
  <c r="M74" i="14"/>
  <c r="O74" i="14"/>
  <c r="AD74" i="14"/>
  <c r="K74" i="14"/>
  <c r="U74" i="14"/>
  <c r="W74" i="14"/>
  <c r="S74" i="14"/>
  <c r="AA74" i="14"/>
  <c r="R141" i="4"/>
  <c r="N141" i="4"/>
  <c r="AB157" i="4"/>
  <c r="AH81" i="4"/>
  <c r="AH79" i="4"/>
  <c r="AH80" i="4"/>
  <c r="J156" i="4"/>
  <c r="G141" i="4"/>
  <c r="AA141" i="4"/>
  <c r="AD79" i="4"/>
  <c r="E104" i="4"/>
  <c r="N66" i="4"/>
  <c r="AL81" i="4"/>
  <c r="AL79" i="4"/>
  <c r="AL80" i="4"/>
  <c r="I74" i="14"/>
  <c r="AN82" i="4"/>
  <c r="V66" i="4"/>
  <c r="B104" i="4"/>
  <c r="B74" i="4"/>
  <c r="B81" i="4" s="1"/>
  <c r="B79" i="4"/>
  <c r="B80" i="4"/>
  <c r="B82" i="4"/>
  <c r="M141" i="4"/>
  <c r="O141" i="4"/>
  <c r="P80" i="4"/>
  <c r="F79" i="4"/>
  <c r="C149" i="4"/>
  <c r="B149" i="4"/>
  <c r="Z82" i="4"/>
  <c r="Z81" i="4"/>
  <c r="Z80" i="4"/>
  <c r="Z79" i="4"/>
  <c r="E118" i="4"/>
  <c r="C118" i="4"/>
  <c r="J118" i="4"/>
  <c r="M118" i="4"/>
  <c r="U118" i="4"/>
  <c r="D118" i="4"/>
  <c r="F118" i="4"/>
  <c r="H118" i="4"/>
  <c r="I118" i="4"/>
  <c r="P118" i="4"/>
  <c r="P130" i="4" s="1"/>
  <c r="X118" i="4"/>
  <c r="G118" i="4"/>
  <c r="K118" i="4"/>
  <c r="S118" i="4"/>
  <c r="AA118" i="4"/>
  <c r="N118" i="4"/>
  <c r="V118" i="4"/>
  <c r="Q118" i="4"/>
  <c r="Y118" i="4"/>
  <c r="L118" i="4"/>
  <c r="T118" i="4"/>
  <c r="O118" i="4"/>
  <c r="W118" i="4"/>
  <c r="D122" i="4"/>
  <c r="J122" i="4"/>
  <c r="C122" i="4"/>
  <c r="I122" i="4"/>
  <c r="L122" i="4"/>
  <c r="T122" i="4"/>
  <c r="O122" i="4"/>
  <c r="W122" i="4"/>
  <c r="E122" i="4"/>
  <c r="R122" i="4"/>
  <c r="Z122" i="4"/>
  <c r="Z130" i="4" s="1"/>
  <c r="H122" i="4"/>
  <c r="M122" i="4"/>
  <c r="U122" i="4"/>
  <c r="F122" i="4"/>
  <c r="G122" i="4"/>
  <c r="P122" i="4"/>
  <c r="X122" i="4"/>
  <c r="K122" i="4"/>
  <c r="S122" i="4"/>
  <c r="AA122" i="4"/>
  <c r="N122" i="4"/>
  <c r="V122" i="4"/>
  <c r="I47" i="4"/>
  <c r="M47" i="4"/>
  <c r="Q47" i="4"/>
  <c r="U47" i="4"/>
  <c r="Y47" i="4"/>
  <c r="AC47" i="4"/>
  <c r="AG47" i="4"/>
  <c r="AK47" i="4"/>
  <c r="AO47" i="4"/>
  <c r="AS47" i="4"/>
  <c r="AW47" i="4"/>
  <c r="BA47" i="4"/>
  <c r="BE47" i="4"/>
  <c r="BI47" i="4"/>
  <c r="BM47" i="4"/>
  <c r="J47" i="4"/>
  <c r="N47" i="4"/>
  <c r="R47" i="4"/>
  <c r="V47" i="4"/>
  <c r="Z47" i="4"/>
  <c r="AD47" i="4"/>
  <c r="AH47" i="4"/>
  <c r="AL47" i="4"/>
  <c r="AP47" i="4"/>
  <c r="AT47" i="4"/>
  <c r="AX47" i="4"/>
  <c r="BB47" i="4"/>
  <c r="BF47" i="4"/>
  <c r="BJ47" i="4"/>
  <c r="BN47" i="4"/>
  <c r="K47" i="4"/>
  <c r="O47" i="4"/>
  <c r="S47" i="4"/>
  <c r="W47" i="4"/>
  <c r="AA47" i="4"/>
  <c r="AE47" i="4"/>
  <c r="AI47" i="4"/>
  <c r="AM47" i="4"/>
  <c r="AQ47" i="4"/>
  <c r="AU47" i="4"/>
  <c r="AY47" i="4"/>
  <c r="BC47" i="4"/>
  <c r="BG47" i="4"/>
  <c r="BK47" i="4"/>
  <c r="BO47" i="4"/>
  <c r="AF47" i="4"/>
  <c r="BL47" i="4"/>
  <c r="AJ47" i="4"/>
  <c r="BP47" i="4"/>
  <c r="AN47" i="4"/>
  <c r="P47" i="4"/>
  <c r="AV47" i="4"/>
  <c r="T47" i="4"/>
  <c r="AZ47" i="4"/>
  <c r="X47" i="4"/>
  <c r="BD47" i="4"/>
  <c r="AB47" i="4"/>
  <c r="BH47" i="4"/>
  <c r="AR47" i="4"/>
  <c r="L47" i="4"/>
  <c r="J43" i="4"/>
  <c r="N43" i="4"/>
  <c r="R43" i="4"/>
  <c r="V43" i="4"/>
  <c r="Z43" i="4"/>
  <c r="AD43" i="4"/>
  <c r="AH43" i="4"/>
  <c r="AL43" i="4"/>
  <c r="AP43" i="4"/>
  <c r="AT43" i="4"/>
  <c r="AX43" i="4"/>
  <c r="BB43" i="4"/>
  <c r="BF43" i="4"/>
  <c r="BJ43" i="4"/>
  <c r="BN43" i="4"/>
  <c r="K43" i="4"/>
  <c r="O43" i="4"/>
  <c r="S43" i="4"/>
  <c r="W43" i="4"/>
  <c r="AA43" i="4"/>
  <c r="AE43" i="4"/>
  <c r="AI43" i="4"/>
  <c r="AM43" i="4"/>
  <c r="AQ43" i="4"/>
  <c r="AU43" i="4"/>
  <c r="AY43" i="4"/>
  <c r="BC43" i="4"/>
  <c r="BG43" i="4"/>
  <c r="BK43" i="4"/>
  <c r="BO43" i="4"/>
  <c r="L43" i="4"/>
  <c r="P43" i="4"/>
  <c r="T43" i="4"/>
  <c r="X43" i="4"/>
  <c r="AB43" i="4"/>
  <c r="AF43" i="4"/>
  <c r="AJ43" i="4"/>
  <c r="AN43" i="4"/>
  <c r="AR43" i="4"/>
  <c r="AV43" i="4"/>
  <c r="AZ43" i="4"/>
  <c r="BD43" i="4"/>
  <c r="BH43" i="4"/>
  <c r="BL43" i="4"/>
  <c r="BP43" i="4"/>
  <c r="Q43" i="4"/>
  <c r="AW43" i="4"/>
  <c r="U43" i="4"/>
  <c r="BA43" i="4"/>
  <c r="Y43" i="4"/>
  <c r="BE43" i="4"/>
  <c r="AG43" i="4"/>
  <c r="BM43" i="4"/>
  <c r="AK43" i="4"/>
  <c r="I43" i="4"/>
  <c r="AO43" i="4"/>
  <c r="M43" i="4"/>
  <c r="AS43" i="4"/>
  <c r="BI43" i="4"/>
  <c r="AC43" i="4"/>
  <c r="BH16" i="4"/>
  <c r="BH30" i="4" s="1"/>
  <c r="AB16" i="4"/>
  <c r="AB30" i="4" s="1"/>
  <c r="E119" i="4"/>
  <c r="H119" i="4"/>
  <c r="G119" i="4"/>
  <c r="R119" i="4"/>
  <c r="Z119" i="4"/>
  <c r="C119" i="4"/>
  <c r="J119" i="4"/>
  <c r="M119" i="4"/>
  <c r="U119" i="4"/>
  <c r="D119" i="4"/>
  <c r="F119" i="4"/>
  <c r="I119" i="4"/>
  <c r="P119" i="4"/>
  <c r="X119" i="4"/>
  <c r="K119" i="4"/>
  <c r="S119" i="4"/>
  <c r="AA119" i="4"/>
  <c r="N119" i="4"/>
  <c r="V119" i="4"/>
  <c r="Q119" i="4"/>
  <c r="Y119" i="4"/>
  <c r="L119" i="4"/>
  <c r="T119" i="4"/>
  <c r="E48" i="4"/>
  <c r="G48" i="4"/>
  <c r="E75" i="14"/>
  <c r="E79" i="14" s="1"/>
  <c r="T75" i="14"/>
  <c r="T79" i="14" s="1"/>
  <c r="K75" i="14"/>
  <c r="K79" i="14" s="1"/>
  <c r="J75" i="14"/>
  <c r="J79" i="14" s="1"/>
  <c r="I75" i="14"/>
  <c r="I79" i="14" s="1"/>
  <c r="H75" i="14"/>
  <c r="H79" i="14" s="1"/>
  <c r="U75" i="14"/>
  <c r="U79" i="14" s="1"/>
  <c r="G75" i="14"/>
  <c r="G79" i="14" s="1"/>
  <c r="L75" i="14"/>
  <c r="L79" i="14" s="1"/>
  <c r="D75" i="14"/>
  <c r="D79" i="14" s="1"/>
  <c r="AG75" i="14"/>
  <c r="AG79" i="14" s="1"/>
  <c r="AF75" i="14"/>
  <c r="AF79" i="14" s="1"/>
  <c r="M75" i="14"/>
  <c r="M79" i="14" s="1"/>
  <c r="AE75" i="14"/>
  <c r="AE79" i="14" s="1"/>
  <c r="AD75" i="14"/>
  <c r="AD79" i="14" s="1"/>
  <c r="AA75" i="14"/>
  <c r="AA79" i="14" s="1"/>
  <c r="Z75" i="14"/>
  <c r="Z79" i="14" s="1"/>
  <c r="Y75" i="14"/>
  <c r="Y79" i="14" s="1"/>
  <c r="X75" i="14"/>
  <c r="X79" i="14" s="1"/>
  <c r="F75" i="14"/>
  <c r="F79" i="14" s="1"/>
  <c r="W75" i="14"/>
  <c r="W79" i="14" s="1"/>
  <c r="V75" i="14"/>
  <c r="V79" i="14" s="1"/>
  <c r="AB75" i="14"/>
  <c r="AB79" i="14" s="1"/>
  <c r="S75" i="14"/>
  <c r="S79" i="14" s="1"/>
  <c r="R75" i="14"/>
  <c r="R79" i="14" s="1"/>
  <c r="Q75" i="14"/>
  <c r="Q79" i="14" s="1"/>
  <c r="P75" i="14"/>
  <c r="P79" i="14" s="1"/>
  <c r="Z118" i="4"/>
  <c r="X116" i="4"/>
  <c r="Q122" i="4"/>
  <c r="O116" i="4"/>
  <c r="L116" i="4"/>
  <c r="H133" i="4"/>
  <c r="G116" i="4"/>
  <c r="R116" i="4"/>
  <c r="Z116" i="4"/>
  <c r="M116" i="4"/>
  <c r="U116" i="4"/>
  <c r="E116" i="4"/>
  <c r="F116" i="4"/>
  <c r="K116" i="4"/>
  <c r="S116" i="4"/>
  <c r="AA116" i="4"/>
  <c r="AA130" i="4" s="1"/>
  <c r="H116" i="4"/>
  <c r="N116" i="4"/>
  <c r="N130" i="4" s="1"/>
  <c r="V116" i="4"/>
  <c r="C66" i="4"/>
  <c r="D66" i="4"/>
  <c r="H48" i="4"/>
  <c r="Y116" i="4"/>
  <c r="W119" i="4"/>
  <c r="O66" i="4"/>
  <c r="D48" i="4"/>
  <c r="AC75" i="14"/>
  <c r="AC79" i="14" s="1"/>
  <c r="C148" i="4"/>
  <c r="R118" i="4"/>
  <c r="P116" i="4"/>
  <c r="G130" i="4"/>
  <c r="M144" i="4"/>
  <c r="B123" i="4"/>
  <c r="B98" i="4"/>
  <c r="B48" i="4"/>
  <c r="N75" i="14"/>
  <c r="N79" i="14" s="1"/>
  <c r="O75" i="14"/>
  <c r="O79" i="14" s="1"/>
  <c r="D154" i="4"/>
  <c r="Y122" i="4"/>
  <c r="W116" i="4"/>
  <c r="U130" i="4"/>
  <c r="T116" i="4"/>
  <c r="Q116" i="4"/>
  <c r="O119" i="4"/>
  <c r="L130" i="4"/>
  <c r="Z117" i="4"/>
  <c r="R117" i="4"/>
  <c r="BM33" i="4"/>
  <c r="BI33" i="4"/>
  <c r="BE33" i="4"/>
  <c r="BA33" i="4"/>
  <c r="AW33" i="4"/>
  <c r="AS33" i="4"/>
  <c r="AO33" i="4"/>
  <c r="AK33" i="4"/>
  <c r="AG33" i="4"/>
  <c r="AC33" i="4"/>
  <c r="Y33" i="4"/>
  <c r="U33" i="4"/>
  <c r="Q33" i="4"/>
  <c r="J42" i="4"/>
  <c r="N42" i="4"/>
  <c r="R42" i="4"/>
  <c r="V42" i="4"/>
  <c r="Z42" i="4"/>
  <c r="AD42" i="4"/>
  <c r="AH42" i="4"/>
  <c r="AL42" i="4"/>
  <c r="AP42" i="4"/>
  <c r="AT42" i="4"/>
  <c r="AX42" i="4"/>
  <c r="BB42" i="4"/>
  <c r="BF42" i="4"/>
  <c r="BJ42" i="4"/>
  <c r="BN42" i="4"/>
  <c r="K42" i="4"/>
  <c r="O42" i="4"/>
  <c r="S42" i="4"/>
  <c r="W42" i="4"/>
  <c r="AA42" i="4"/>
  <c r="AE42" i="4"/>
  <c r="AI42" i="4"/>
  <c r="AM42" i="4"/>
  <c r="AQ42" i="4"/>
  <c r="AU42" i="4"/>
  <c r="AY42" i="4"/>
  <c r="BC42" i="4"/>
  <c r="BG42" i="4"/>
  <c r="BK42" i="4"/>
  <c r="BO42" i="4"/>
  <c r="L42" i="4"/>
  <c r="P42" i="4"/>
  <c r="T42" i="4"/>
  <c r="X42" i="4"/>
  <c r="AB42" i="4"/>
  <c r="AF42" i="4"/>
  <c r="AJ42" i="4"/>
  <c r="AN42" i="4"/>
  <c r="AR42" i="4"/>
  <c r="AV42" i="4"/>
  <c r="AZ42" i="4"/>
  <c r="BD42" i="4"/>
  <c r="BH42" i="4"/>
  <c r="BL42" i="4"/>
  <c r="BP42" i="4"/>
  <c r="I42" i="4"/>
  <c r="M42" i="4"/>
  <c r="Q42" i="4"/>
  <c r="U42" i="4"/>
  <c r="Y42" i="4"/>
  <c r="AC42" i="4"/>
  <c r="AG42" i="4"/>
  <c r="AK42" i="4"/>
  <c r="AO42" i="4"/>
  <c r="AS42" i="4"/>
  <c r="AW42" i="4"/>
  <c r="BA42" i="4"/>
  <c r="BE42" i="4"/>
  <c r="BI42" i="4"/>
  <c r="BM42" i="4"/>
  <c r="W117" i="4"/>
  <c r="O117" i="4"/>
  <c r="I116" i="4"/>
  <c r="I130" i="4" s="1"/>
  <c r="BI16" i="4"/>
  <c r="BI30" i="4" s="1"/>
  <c r="AC16" i="4"/>
  <c r="AC30" i="4" s="1"/>
  <c r="I46" i="4"/>
  <c r="M46" i="4"/>
  <c r="Q46" i="4"/>
  <c r="U46" i="4"/>
  <c r="Y46" i="4"/>
  <c r="AC46" i="4"/>
  <c r="AG46" i="4"/>
  <c r="AK46" i="4"/>
  <c r="AO46" i="4"/>
  <c r="AS46" i="4"/>
  <c r="AW46" i="4"/>
  <c r="BA46" i="4"/>
  <c r="BE46" i="4"/>
  <c r="BI46" i="4"/>
  <c r="BM46" i="4"/>
  <c r="J46" i="4"/>
  <c r="N46" i="4"/>
  <c r="R46" i="4"/>
  <c r="V46" i="4"/>
  <c r="Z46" i="4"/>
  <c r="AD46" i="4"/>
  <c r="AH46" i="4"/>
  <c r="AL46" i="4"/>
  <c r="AP46" i="4"/>
  <c r="AT46" i="4"/>
  <c r="AX46" i="4"/>
  <c r="BB46" i="4"/>
  <c r="BF46" i="4"/>
  <c r="BJ46" i="4"/>
  <c r="BN46" i="4"/>
  <c r="K46" i="4"/>
  <c r="O46" i="4"/>
  <c r="S46" i="4"/>
  <c r="W46" i="4"/>
  <c r="AA46" i="4"/>
  <c r="AE46" i="4"/>
  <c r="AI46" i="4"/>
  <c r="AM46" i="4"/>
  <c r="AQ46" i="4"/>
  <c r="AU46" i="4"/>
  <c r="AY46" i="4"/>
  <c r="BC46" i="4"/>
  <c r="BG46" i="4"/>
  <c r="BK46" i="4"/>
  <c r="BO46" i="4"/>
  <c r="L46" i="4"/>
  <c r="P46" i="4"/>
  <c r="T46" i="4"/>
  <c r="X46" i="4"/>
  <c r="AB46" i="4"/>
  <c r="AF46" i="4"/>
  <c r="AJ46" i="4"/>
  <c r="AN46" i="4"/>
  <c r="AR46" i="4"/>
  <c r="AV46" i="4"/>
  <c r="AZ46" i="4"/>
  <c r="BD46" i="4"/>
  <c r="BH46" i="4"/>
  <c r="BL46" i="4"/>
  <c r="BP46" i="4"/>
  <c r="C53" i="14"/>
  <c r="R54" i="14"/>
  <c r="V54" i="14"/>
  <c r="H71" i="14"/>
  <c r="J71" i="14"/>
  <c r="L71" i="14"/>
  <c r="F71" i="14"/>
  <c r="T117" i="4"/>
  <c r="L117" i="4"/>
  <c r="J116" i="4"/>
  <c r="J132" i="4" s="1"/>
  <c r="I54" i="14"/>
  <c r="K54" i="14"/>
  <c r="D53" i="14"/>
  <c r="P71" i="14"/>
  <c r="R71" i="14"/>
  <c r="T71" i="14"/>
  <c r="N71" i="14"/>
  <c r="Y117" i="4"/>
  <c r="BB16" i="4"/>
  <c r="V16" i="4"/>
  <c r="H117" i="4"/>
  <c r="H130" i="4" s="1"/>
  <c r="C117" i="4"/>
  <c r="F117" i="4"/>
  <c r="F130" i="4" s="1"/>
  <c r="E117" i="4"/>
  <c r="H54" i="14"/>
  <c r="S54" i="14"/>
  <c r="G54" i="14"/>
  <c r="X71" i="14"/>
  <c r="Z71" i="14"/>
  <c r="E54" i="14"/>
  <c r="V71" i="14"/>
  <c r="V117" i="4"/>
  <c r="N117" i="4"/>
  <c r="I21" i="4"/>
  <c r="M21" i="4"/>
  <c r="Q21" i="4"/>
  <c r="U21" i="4"/>
  <c r="Y21" i="4"/>
  <c r="AC21" i="4"/>
  <c r="AG21" i="4"/>
  <c r="AK21" i="4"/>
  <c r="AO21" i="4"/>
  <c r="AS21" i="4"/>
  <c r="AW21" i="4"/>
  <c r="BA21" i="4"/>
  <c r="BE21" i="4"/>
  <c r="BI21" i="4"/>
  <c r="BM21" i="4"/>
  <c r="J21" i="4"/>
  <c r="N21" i="4"/>
  <c r="R21" i="4"/>
  <c r="V21" i="4"/>
  <c r="Z21" i="4"/>
  <c r="AD21" i="4"/>
  <c r="AH21" i="4"/>
  <c r="AL21" i="4"/>
  <c r="AP21" i="4"/>
  <c r="AT21" i="4"/>
  <c r="AX21" i="4"/>
  <c r="BB21" i="4"/>
  <c r="BF21" i="4"/>
  <c r="BJ21" i="4"/>
  <c r="BN21" i="4"/>
  <c r="K21" i="4"/>
  <c r="O21" i="4"/>
  <c r="S21" i="4"/>
  <c r="W21" i="4"/>
  <c r="AA21" i="4"/>
  <c r="AE21" i="4"/>
  <c r="AI21" i="4"/>
  <c r="AM21" i="4"/>
  <c r="AQ21" i="4"/>
  <c r="AU21" i="4"/>
  <c r="AY21" i="4"/>
  <c r="BC21" i="4"/>
  <c r="BG21" i="4"/>
  <c r="BK21" i="4"/>
  <c r="BO21" i="4"/>
  <c r="L21" i="4"/>
  <c r="P21" i="4"/>
  <c r="T21" i="4"/>
  <c r="X21" i="4"/>
  <c r="AB21" i="4"/>
  <c r="AF21" i="4"/>
  <c r="AJ21" i="4"/>
  <c r="AN21" i="4"/>
  <c r="AR21" i="4"/>
  <c r="AV21" i="4"/>
  <c r="AZ21" i="4"/>
  <c r="BD21" i="4"/>
  <c r="BH21" i="4"/>
  <c r="BL21" i="4"/>
  <c r="BP21" i="4"/>
  <c r="P54" i="14"/>
  <c r="AB71" i="14"/>
  <c r="AD71" i="14"/>
  <c r="AF71" i="14"/>
  <c r="E71" i="14"/>
  <c r="B70" i="14"/>
  <c r="AA117" i="4"/>
  <c r="S117" i="4"/>
  <c r="K117" i="4"/>
  <c r="K130" i="4" s="1"/>
  <c r="G117" i="4"/>
  <c r="AY16" i="4"/>
  <c r="AU16" i="4"/>
  <c r="S16" i="4"/>
  <c r="L16" i="4"/>
  <c r="X117" i="4"/>
  <c r="P117" i="4"/>
  <c r="J117" i="4"/>
  <c r="I117" i="4"/>
  <c r="D117" i="4"/>
  <c r="I18" i="4"/>
  <c r="J18" i="4"/>
  <c r="N18" i="4"/>
  <c r="R18" i="4"/>
  <c r="V18" i="4"/>
  <c r="Z18" i="4"/>
  <c r="AD18" i="4"/>
  <c r="AH18" i="4"/>
  <c r="AL18" i="4"/>
  <c r="AP18" i="4"/>
  <c r="AT18" i="4"/>
  <c r="AX18" i="4"/>
  <c r="BB18" i="4"/>
  <c r="BF18" i="4"/>
  <c r="BJ18" i="4"/>
  <c r="BN18" i="4"/>
  <c r="K18" i="4"/>
  <c r="O18" i="4"/>
  <c r="S18" i="4"/>
  <c r="W18" i="4"/>
  <c r="AA18" i="4"/>
  <c r="AE18" i="4"/>
  <c r="AI18" i="4"/>
  <c r="AM18" i="4"/>
  <c r="AQ18" i="4"/>
  <c r="AU18" i="4"/>
  <c r="AY18" i="4"/>
  <c r="BC18" i="4"/>
  <c r="BG18" i="4"/>
  <c r="BK18" i="4"/>
  <c r="BO18" i="4"/>
  <c r="L18" i="4"/>
  <c r="P18" i="4"/>
  <c r="T18" i="4"/>
  <c r="X18" i="4"/>
  <c r="AB18" i="4"/>
  <c r="AF18" i="4"/>
  <c r="AJ18" i="4"/>
  <c r="AN18" i="4"/>
  <c r="AR18" i="4"/>
  <c r="AV18" i="4"/>
  <c r="AZ18" i="4"/>
  <c r="BD18" i="4"/>
  <c r="BH18" i="4"/>
  <c r="BL18" i="4"/>
  <c r="BP18" i="4"/>
  <c r="M18" i="4"/>
  <c r="Q18" i="4"/>
  <c r="U18" i="4"/>
  <c r="Y18" i="4"/>
  <c r="AC18" i="4"/>
  <c r="AG18" i="4"/>
  <c r="AK18" i="4"/>
  <c r="AO18" i="4"/>
  <c r="AS18" i="4"/>
  <c r="AW18" i="4"/>
  <c r="BA18" i="4"/>
  <c r="BE18" i="4"/>
  <c r="BI18" i="4"/>
  <c r="BM18" i="4"/>
  <c r="M33" i="4"/>
  <c r="E33" i="4"/>
  <c r="N22" i="4"/>
  <c r="J22" i="4"/>
  <c r="H14" i="4"/>
  <c r="AY40" i="4"/>
  <c r="S40" i="4"/>
  <c r="Q41" i="4"/>
  <c r="C14" i="4"/>
  <c r="I15" i="4"/>
  <c r="B14" i="4"/>
  <c r="AN16" i="4" s="1"/>
  <c r="AU40" i="4"/>
  <c r="E39" i="4"/>
  <c r="F39" i="4"/>
  <c r="L40" i="4"/>
  <c r="P40" i="4"/>
  <c r="T40" i="4"/>
  <c r="X40" i="4"/>
  <c r="AB40" i="4"/>
  <c r="AF40" i="4"/>
  <c r="AJ40" i="4"/>
  <c r="AN40" i="4"/>
  <c r="AR40" i="4"/>
  <c r="AV40" i="4"/>
  <c r="AZ40" i="4"/>
  <c r="BD40" i="4"/>
  <c r="BH40" i="4"/>
  <c r="BL40" i="4"/>
  <c r="BP40" i="4"/>
  <c r="G39" i="4"/>
  <c r="H39" i="4"/>
  <c r="M40" i="4"/>
  <c r="Q40" i="4"/>
  <c r="U40" i="4"/>
  <c r="Y40" i="4"/>
  <c r="AC40" i="4"/>
  <c r="AG40" i="4"/>
  <c r="AK40" i="4"/>
  <c r="AO40" i="4"/>
  <c r="AS40" i="4"/>
  <c r="AW40" i="4"/>
  <c r="BA40" i="4"/>
  <c r="BE40" i="4"/>
  <c r="BI40" i="4"/>
  <c r="BM40" i="4"/>
  <c r="I40" i="4"/>
  <c r="B39" i="4"/>
  <c r="BM41" i="4" s="1"/>
  <c r="J40" i="4"/>
  <c r="N40" i="4"/>
  <c r="R40" i="4"/>
  <c r="V40" i="4"/>
  <c r="BE41" i="4" s="1"/>
  <c r="Z40" i="4"/>
  <c r="AD40" i="4"/>
  <c r="AH40" i="4"/>
  <c r="AL40" i="4"/>
  <c r="AP40" i="4"/>
  <c r="AT40" i="4"/>
  <c r="AX40" i="4"/>
  <c r="BB40" i="4"/>
  <c r="BF40" i="4"/>
  <c r="BJ40" i="4"/>
  <c r="BN40" i="4"/>
  <c r="C39" i="4"/>
  <c r="I41" i="4" s="1"/>
  <c r="B40" i="9"/>
  <c r="AQ40" i="4"/>
  <c r="K40" i="4"/>
  <c r="AM40" i="4"/>
  <c r="D39" i="4"/>
  <c r="G14" i="4"/>
  <c r="E14" i="4"/>
  <c r="F16" i="4" s="1"/>
  <c r="BK40" i="4"/>
  <c r="BI41" i="4"/>
  <c r="AE40" i="4"/>
  <c r="E16" i="4"/>
  <c r="BG40" i="4"/>
  <c r="AA40" i="4"/>
  <c r="O15" i="4"/>
  <c r="K15" i="4"/>
  <c r="BC40" i="4"/>
  <c r="BA41" i="4"/>
  <c r="W40" i="4"/>
  <c r="F31" i="4" l="1"/>
  <c r="F32" i="4"/>
  <c r="F29" i="4"/>
  <c r="F30" i="4"/>
  <c r="BF55" i="4"/>
  <c r="BB55" i="4"/>
  <c r="AN31" i="4"/>
  <c r="AN32" i="4"/>
  <c r="AN29" i="4"/>
  <c r="AN30" i="4"/>
  <c r="AB54" i="4"/>
  <c r="AB57" i="4"/>
  <c r="S155" i="4"/>
  <c r="S154" i="4"/>
  <c r="S156" i="4"/>
  <c r="S157" i="4"/>
  <c r="BC55" i="4"/>
  <c r="BC56" i="4"/>
  <c r="AX56" i="4"/>
  <c r="BA55" i="4"/>
  <c r="BA54" i="4"/>
  <c r="BA57" i="4"/>
  <c r="BA56" i="4"/>
  <c r="AS41" i="4"/>
  <c r="D132" i="4"/>
  <c r="D131" i="4"/>
  <c r="D129" i="4"/>
  <c r="S30" i="4"/>
  <c r="S31" i="4"/>
  <c r="S29" i="4"/>
  <c r="S32" i="4"/>
  <c r="AY30" i="4"/>
  <c r="AY31" i="4"/>
  <c r="AY32" i="4"/>
  <c r="AY29" i="4"/>
  <c r="Z16" i="4"/>
  <c r="BF16" i="4"/>
  <c r="D63" i="14"/>
  <c r="AG16" i="4"/>
  <c r="BM16" i="4"/>
  <c r="D81" i="4"/>
  <c r="D79" i="4"/>
  <c r="D82" i="4"/>
  <c r="D80" i="4"/>
  <c r="D2" i="4" s="1"/>
  <c r="D2" i="9" s="1"/>
  <c r="S132" i="4"/>
  <c r="S131" i="4"/>
  <c r="S129" i="4"/>
  <c r="G132" i="4"/>
  <c r="G129" i="4"/>
  <c r="G131" i="4"/>
  <c r="AF16" i="4"/>
  <c r="BL16" i="4"/>
  <c r="U154" i="4"/>
  <c r="U155" i="4"/>
  <c r="U157" i="4"/>
  <c r="U156" i="4"/>
  <c r="AB154" i="4"/>
  <c r="AB156" i="4"/>
  <c r="AB155" i="4"/>
  <c r="Q154" i="4"/>
  <c r="Q155" i="4"/>
  <c r="Q157" i="4"/>
  <c r="Q156" i="4"/>
  <c r="G80" i="4"/>
  <c r="G79" i="4"/>
  <c r="G81" i="4"/>
  <c r="G82" i="4"/>
  <c r="AF79" i="4"/>
  <c r="AK79" i="4"/>
  <c r="AK82" i="4"/>
  <c r="AK81" i="4"/>
  <c r="AK80" i="4"/>
  <c r="AB80" i="4"/>
  <c r="AB82" i="4"/>
  <c r="AB79" i="4"/>
  <c r="AB81" i="4"/>
  <c r="S82" i="4"/>
  <c r="S80" i="4"/>
  <c r="S79" i="4"/>
  <c r="S81" i="4"/>
  <c r="K79" i="4"/>
  <c r="J155" i="4"/>
  <c r="W107" i="4"/>
  <c r="W104" i="4"/>
  <c r="W105" i="4"/>
  <c r="W106" i="4"/>
  <c r="J107" i="4"/>
  <c r="J104" i="4"/>
  <c r="J105" i="4"/>
  <c r="J106" i="4"/>
  <c r="M104" i="4"/>
  <c r="M107" i="4"/>
  <c r="M106" i="4"/>
  <c r="M105" i="4"/>
  <c r="R129" i="4"/>
  <c r="R131" i="4"/>
  <c r="R132" i="4"/>
  <c r="F157" i="4"/>
  <c r="F154" i="4"/>
  <c r="R82" i="4"/>
  <c r="R81" i="4"/>
  <c r="R79" i="4"/>
  <c r="R80" i="4"/>
  <c r="BG55" i="4"/>
  <c r="N56" i="4"/>
  <c r="N54" i="4"/>
  <c r="Q55" i="4"/>
  <c r="Q56" i="4"/>
  <c r="Q57" i="4"/>
  <c r="Q54" i="4"/>
  <c r="T57" i="4"/>
  <c r="AG41" i="4"/>
  <c r="W16" i="4"/>
  <c r="BC16" i="4"/>
  <c r="J55" i="14"/>
  <c r="T55" i="14"/>
  <c r="G55" i="14"/>
  <c r="U55" i="14"/>
  <c r="Q55" i="14"/>
  <c r="O55" i="14"/>
  <c r="M55" i="14"/>
  <c r="F55" i="14"/>
  <c r="V55" i="14"/>
  <c r="I55" i="14"/>
  <c r="K55" i="14"/>
  <c r="X55" i="14"/>
  <c r="L55" i="14"/>
  <c r="S55" i="14"/>
  <c r="R55" i="14"/>
  <c r="H55" i="14"/>
  <c r="W55" i="14"/>
  <c r="P55" i="14"/>
  <c r="N55" i="14"/>
  <c r="C129" i="4"/>
  <c r="C131" i="4"/>
  <c r="C132" i="4"/>
  <c r="AD16" i="4"/>
  <c r="BJ16" i="4"/>
  <c r="AK16" i="4"/>
  <c r="C130" i="4"/>
  <c r="Q130" i="4"/>
  <c r="Q132" i="4"/>
  <c r="Q129" i="4"/>
  <c r="Q131" i="4"/>
  <c r="R130" i="4"/>
  <c r="O79" i="4"/>
  <c r="O81" i="4"/>
  <c r="O82" i="4"/>
  <c r="O80" i="4"/>
  <c r="K131" i="4"/>
  <c r="K132" i="4"/>
  <c r="K129" i="4"/>
  <c r="D130" i="4"/>
  <c r="AJ16" i="4"/>
  <c r="BP16" i="4"/>
  <c r="N81" i="4"/>
  <c r="N80" i="4"/>
  <c r="N82" i="4"/>
  <c r="N79" i="4"/>
  <c r="K156" i="4"/>
  <c r="K157" i="4"/>
  <c r="K155" i="4"/>
  <c r="K154" i="4"/>
  <c r="W79" i="4"/>
  <c r="W80" i="4"/>
  <c r="W82" i="4"/>
  <c r="W81" i="4"/>
  <c r="AF82" i="4"/>
  <c r="AP81" i="4"/>
  <c r="AP80" i="4"/>
  <c r="AP82" i="4"/>
  <c r="AP79" i="4"/>
  <c r="K80" i="4"/>
  <c r="G104" i="4"/>
  <c r="G106" i="4"/>
  <c r="G107" i="4"/>
  <c r="G105" i="4"/>
  <c r="AA106" i="4"/>
  <c r="AA107" i="4"/>
  <c r="AA105" i="4"/>
  <c r="AA104" i="4"/>
  <c r="V155" i="4"/>
  <c r="L31" i="4"/>
  <c r="L29" i="4"/>
  <c r="L32" i="4"/>
  <c r="AB32" i="4"/>
  <c r="AB29" i="4"/>
  <c r="AB31" i="4"/>
  <c r="AO81" i="4"/>
  <c r="AO80" i="4"/>
  <c r="AO79" i="4"/>
  <c r="AO82" i="4"/>
  <c r="N106" i="4"/>
  <c r="N107" i="4"/>
  <c r="N104" i="4"/>
  <c r="N105" i="4"/>
  <c r="J57" i="4"/>
  <c r="J54" i="4"/>
  <c r="AS55" i="4"/>
  <c r="AS57" i="4"/>
  <c r="AS56" i="4"/>
  <c r="AS54" i="4"/>
  <c r="M54" i="4"/>
  <c r="M56" i="4"/>
  <c r="P57" i="4"/>
  <c r="P56" i="4"/>
  <c r="AW41" i="4"/>
  <c r="AW55" i="4" s="1"/>
  <c r="AA16" i="4"/>
  <c r="BG16" i="4"/>
  <c r="E72" i="14"/>
  <c r="D72" i="14"/>
  <c r="C72" i="14"/>
  <c r="C78" i="14" s="1"/>
  <c r="B72" i="14"/>
  <c r="B78" i="14"/>
  <c r="AH16" i="4"/>
  <c r="BN16" i="4"/>
  <c r="AO16" i="4"/>
  <c r="I131" i="4"/>
  <c r="I129" i="4"/>
  <c r="I132" i="4"/>
  <c r="T129" i="4"/>
  <c r="T131" i="4"/>
  <c r="T132" i="4"/>
  <c r="P131" i="4"/>
  <c r="P129" i="4"/>
  <c r="P132" i="4"/>
  <c r="F131" i="4"/>
  <c r="F129" i="4"/>
  <c r="F132" i="4"/>
  <c r="X132" i="4"/>
  <c r="X129" i="4"/>
  <c r="X131" i="4"/>
  <c r="O155" i="4"/>
  <c r="O156" i="4"/>
  <c r="O157" i="4"/>
  <c r="O154" i="4"/>
  <c r="V80" i="4"/>
  <c r="V79" i="4"/>
  <c r="V82" i="4"/>
  <c r="V81" i="4"/>
  <c r="I155" i="4"/>
  <c r="I154" i="4"/>
  <c r="I156" i="4"/>
  <c r="I157" i="4"/>
  <c r="Z155" i="4"/>
  <c r="Z156" i="4"/>
  <c r="Z157" i="4"/>
  <c r="Z154" i="4"/>
  <c r="E154" i="4"/>
  <c r="J129" i="4"/>
  <c r="U82" i="4"/>
  <c r="U81" i="4"/>
  <c r="U79" i="4"/>
  <c r="U80" i="4"/>
  <c r="J82" i="4"/>
  <c r="J81" i="4"/>
  <c r="J79" i="4"/>
  <c r="J80" i="4"/>
  <c r="D156" i="4"/>
  <c r="D157" i="4"/>
  <c r="L104" i="4"/>
  <c r="L105" i="4"/>
  <c r="L107" i="4"/>
  <c r="L106" i="4"/>
  <c r="U105" i="4"/>
  <c r="U107" i="4"/>
  <c r="U106" i="4"/>
  <c r="U104" i="4"/>
  <c r="Q105" i="4"/>
  <c r="Q106" i="4"/>
  <c r="Q107" i="4"/>
  <c r="Q104" i="4"/>
  <c r="AM56" i="4"/>
  <c r="AM54" i="4"/>
  <c r="BB30" i="4"/>
  <c r="BB29" i="4"/>
  <c r="BB31" i="4"/>
  <c r="BB32" i="4"/>
  <c r="BI29" i="4"/>
  <c r="BI32" i="4"/>
  <c r="BI31" i="4"/>
  <c r="O132" i="4"/>
  <c r="O131" i="4"/>
  <c r="BH32" i="4"/>
  <c r="BH31" i="4"/>
  <c r="BH29" i="4"/>
  <c r="K30" i="4"/>
  <c r="E29" i="4"/>
  <c r="E32" i="4"/>
  <c r="E31" i="4"/>
  <c r="K55" i="4"/>
  <c r="K56" i="4"/>
  <c r="K54" i="4"/>
  <c r="K41" i="4"/>
  <c r="K57" i="4" s="1"/>
  <c r="O41" i="4"/>
  <c r="S41" i="4"/>
  <c r="S57" i="4" s="1"/>
  <c r="W41" i="4"/>
  <c r="AA41" i="4"/>
  <c r="AE41" i="4"/>
  <c r="AI41" i="4"/>
  <c r="AM41" i="4"/>
  <c r="AM57" i="4" s="1"/>
  <c r="AQ41" i="4"/>
  <c r="AU41" i="4"/>
  <c r="AU55" i="4" s="1"/>
  <c r="AY41" i="4"/>
  <c r="AY55" i="4" s="1"/>
  <c r="BC41" i="4"/>
  <c r="BC54" i="4" s="1"/>
  <c r="BG41" i="4"/>
  <c r="BG56" i="4" s="1"/>
  <c r="BK41" i="4"/>
  <c r="BK55" i="4" s="1"/>
  <c r="BO41" i="4"/>
  <c r="L41" i="4"/>
  <c r="L55" i="4" s="1"/>
  <c r="P41" i="4"/>
  <c r="P55" i="4" s="1"/>
  <c r="T41" i="4"/>
  <c r="T56" i="4" s="1"/>
  <c r="X41" i="4"/>
  <c r="X55" i="4" s="1"/>
  <c r="AB41" i="4"/>
  <c r="AB55" i="4" s="1"/>
  <c r="AF41" i="4"/>
  <c r="AJ41" i="4"/>
  <c r="AN41" i="4"/>
  <c r="AR41" i="4"/>
  <c r="AV41" i="4"/>
  <c r="AV55" i="4" s="1"/>
  <c r="AZ41" i="4"/>
  <c r="AZ55" i="4" s="1"/>
  <c r="BD41" i="4"/>
  <c r="BD56" i="4" s="1"/>
  <c r="BH41" i="4"/>
  <c r="BH55" i="4" s="1"/>
  <c r="BL41" i="4"/>
  <c r="BP41" i="4"/>
  <c r="B41" i="4"/>
  <c r="D41" i="4"/>
  <c r="F41" i="4"/>
  <c r="H41" i="4"/>
  <c r="AH41" i="4"/>
  <c r="AH55" i="4" s="1"/>
  <c r="BN41" i="4"/>
  <c r="BN55" i="4" s="1"/>
  <c r="G41" i="4"/>
  <c r="AL41" i="4"/>
  <c r="AL56" i="4" s="1"/>
  <c r="J41" i="4"/>
  <c r="J55" i="4" s="1"/>
  <c r="AP41" i="4"/>
  <c r="AP55" i="4" s="1"/>
  <c r="R41" i="4"/>
  <c r="R56" i="4" s="1"/>
  <c r="AX41" i="4"/>
  <c r="AX55" i="4" s="1"/>
  <c r="V41" i="4"/>
  <c r="V56" i="4" s="1"/>
  <c r="BB41" i="4"/>
  <c r="Z41" i="4"/>
  <c r="Z55" i="4" s="1"/>
  <c r="BF41" i="4"/>
  <c r="C41" i="4"/>
  <c r="AD41" i="4"/>
  <c r="BJ41" i="4"/>
  <c r="BJ55" i="4" s="1"/>
  <c r="E41" i="4"/>
  <c r="AT41" i="4"/>
  <c r="AT55" i="4" s="1"/>
  <c r="N41" i="4"/>
  <c r="N57" i="4" s="1"/>
  <c r="AR55" i="4"/>
  <c r="AR56" i="4"/>
  <c r="AR54" i="4"/>
  <c r="AR57" i="4"/>
  <c r="L57" i="4"/>
  <c r="L56" i="4"/>
  <c r="H16" i="4"/>
  <c r="B16" i="4"/>
  <c r="J16" i="4"/>
  <c r="K16" i="4"/>
  <c r="K31" i="4" s="1"/>
  <c r="O16" i="4"/>
  <c r="G16" i="4"/>
  <c r="E30" i="4"/>
  <c r="AE16" i="4"/>
  <c r="BK16" i="4"/>
  <c r="L72" i="14"/>
  <c r="U72" i="14"/>
  <c r="V72" i="14"/>
  <c r="W72" i="14"/>
  <c r="X72" i="14"/>
  <c r="Y72" i="14"/>
  <c r="J72" i="14"/>
  <c r="K72" i="14"/>
  <c r="T72" i="14"/>
  <c r="AC72" i="14"/>
  <c r="AD72" i="14"/>
  <c r="AE72" i="14"/>
  <c r="AF72" i="14"/>
  <c r="AG72" i="14"/>
  <c r="R72" i="14"/>
  <c r="S72" i="14"/>
  <c r="AB72" i="14"/>
  <c r="F72" i="14"/>
  <c r="G72" i="14"/>
  <c r="H72" i="14"/>
  <c r="I72" i="14"/>
  <c r="Z72" i="14"/>
  <c r="AA72" i="14"/>
  <c r="M72" i="14"/>
  <c r="N72" i="14"/>
  <c r="O72" i="14"/>
  <c r="P72" i="14"/>
  <c r="Q72" i="14"/>
  <c r="AL16" i="4"/>
  <c r="N16" i="4"/>
  <c r="AS16" i="4"/>
  <c r="T130" i="4"/>
  <c r="C80" i="4"/>
  <c r="C82" i="4"/>
  <c r="C81" i="4"/>
  <c r="D5" i="4" s="1"/>
  <c r="C79" i="4"/>
  <c r="E129" i="4"/>
  <c r="E131" i="4"/>
  <c r="E132" i="4"/>
  <c r="M16" i="4"/>
  <c r="AR16" i="4"/>
  <c r="M155" i="4"/>
  <c r="M154" i="4"/>
  <c r="M156" i="4"/>
  <c r="M157" i="4"/>
  <c r="F155" i="4"/>
  <c r="G2" i="4" s="1"/>
  <c r="G2" i="9" s="1"/>
  <c r="Y154" i="4"/>
  <c r="Y157" i="4"/>
  <c r="Y156" i="4"/>
  <c r="Y155" i="4"/>
  <c r="E156" i="4"/>
  <c r="J131" i="4"/>
  <c r="AI79" i="4"/>
  <c r="AI82" i="4"/>
  <c r="AI81" i="4"/>
  <c r="AI80" i="4"/>
  <c r="AJ80" i="4"/>
  <c r="AJ81" i="4"/>
  <c r="AJ82" i="4"/>
  <c r="AJ79" i="4"/>
  <c r="V157" i="4"/>
  <c r="V156" i="4"/>
  <c r="Z106" i="4"/>
  <c r="Z105" i="4"/>
  <c r="Z104" i="4"/>
  <c r="Z107" i="4"/>
  <c r="T105" i="4"/>
  <c r="T107" i="4"/>
  <c r="T104" i="4"/>
  <c r="T106" i="4"/>
  <c r="E107" i="4"/>
  <c r="E106" i="4"/>
  <c r="E105" i="4"/>
  <c r="BE55" i="4"/>
  <c r="BE54" i="4"/>
  <c r="BE56" i="4"/>
  <c r="BE57" i="4"/>
  <c r="AU30" i="4"/>
  <c r="AU32" i="4"/>
  <c r="AU29" i="4"/>
  <c r="AU31" i="4"/>
  <c r="AA132" i="4"/>
  <c r="AA131" i="4"/>
  <c r="AA129" i="4"/>
  <c r="R104" i="4"/>
  <c r="R106" i="4"/>
  <c r="R105" i="4"/>
  <c r="R107" i="4"/>
  <c r="U41" i="4"/>
  <c r="U55" i="4" s="1"/>
  <c r="O30" i="4"/>
  <c r="O32" i="4"/>
  <c r="O31" i="4"/>
  <c r="O29" i="4"/>
  <c r="AC41" i="4"/>
  <c r="R55" i="4"/>
  <c r="BN54" i="4"/>
  <c r="BN56" i="4"/>
  <c r="BN57" i="4"/>
  <c r="I55" i="4"/>
  <c r="I56" i="4"/>
  <c r="I57" i="4"/>
  <c r="I54" i="4"/>
  <c r="AN55" i="4"/>
  <c r="AN54" i="4"/>
  <c r="AN56" i="4"/>
  <c r="AN57" i="4"/>
  <c r="I32" i="4"/>
  <c r="AI16" i="4"/>
  <c r="BO16" i="4"/>
  <c r="C16" i="4"/>
  <c r="AP16" i="4"/>
  <c r="E55" i="14"/>
  <c r="D55" i="14"/>
  <c r="C55" i="14"/>
  <c r="C63" i="14"/>
  <c r="Q16" i="4"/>
  <c r="AW16" i="4"/>
  <c r="W131" i="4"/>
  <c r="W129" i="4"/>
  <c r="W132" i="4"/>
  <c r="W130" i="4"/>
  <c r="V131" i="4"/>
  <c r="V132" i="4"/>
  <c r="V129" i="4"/>
  <c r="V130" i="4"/>
  <c r="U131" i="4"/>
  <c r="U132" i="4"/>
  <c r="U129" i="4"/>
  <c r="J130" i="4"/>
  <c r="P16" i="4"/>
  <c r="AV16" i="4"/>
  <c r="J157" i="4"/>
  <c r="N155" i="4"/>
  <c r="N154" i="4"/>
  <c r="N157" i="4"/>
  <c r="N156" i="4"/>
  <c r="F156" i="4"/>
  <c r="T154" i="4"/>
  <c r="T155" i="4"/>
  <c r="X156" i="4"/>
  <c r="X154" i="4"/>
  <c r="X155" i="4"/>
  <c r="X157" i="4"/>
  <c r="AN79" i="4"/>
  <c r="I79" i="4"/>
  <c r="I80" i="4"/>
  <c r="I82" i="4"/>
  <c r="D4" i="4" s="1"/>
  <c r="I81" i="4"/>
  <c r="T80" i="4"/>
  <c r="T82" i="4"/>
  <c r="T79" i="4"/>
  <c r="T81" i="4"/>
  <c r="L79" i="4"/>
  <c r="L82" i="4"/>
  <c r="L81" i="4"/>
  <c r="L80" i="4"/>
  <c r="Y80" i="4"/>
  <c r="Y81" i="4"/>
  <c r="Y82" i="4"/>
  <c r="Y79" i="4"/>
  <c r="AD81" i="4"/>
  <c r="L157" i="4"/>
  <c r="H104" i="4"/>
  <c r="H107" i="4"/>
  <c r="E4" i="4" s="1"/>
  <c r="D4" i="9" s="1"/>
  <c r="H106" i="4"/>
  <c r="H105" i="4"/>
  <c r="S106" i="4"/>
  <c r="S104" i="4"/>
  <c r="S105" i="4"/>
  <c r="S107" i="4"/>
  <c r="X107" i="4"/>
  <c r="BB56" i="4"/>
  <c r="BB57" i="4"/>
  <c r="BB54" i="4"/>
  <c r="V30" i="4"/>
  <c r="V31" i="4"/>
  <c r="V32" i="4"/>
  <c r="V29" i="4"/>
  <c r="W55" i="4"/>
  <c r="W56" i="4"/>
  <c r="W57" i="4"/>
  <c r="W54" i="4"/>
  <c r="Y41" i="4"/>
  <c r="AE55" i="4"/>
  <c r="AE54" i="4"/>
  <c r="AE56" i="4"/>
  <c r="AE57" i="4"/>
  <c r="N55" i="4"/>
  <c r="AO41" i="4"/>
  <c r="AO55" i="4" s="1"/>
  <c r="BJ57" i="4"/>
  <c r="BJ54" i="4"/>
  <c r="BJ56" i="4"/>
  <c r="AD57" i="4"/>
  <c r="AD54" i="4"/>
  <c r="AD56" i="4"/>
  <c r="BM55" i="4"/>
  <c r="BM54" i="4"/>
  <c r="BM56" i="4"/>
  <c r="BM57" i="4"/>
  <c r="AG55" i="4"/>
  <c r="AG56" i="4"/>
  <c r="AG54" i="4"/>
  <c r="AG57" i="4"/>
  <c r="BP55" i="4"/>
  <c r="BP56" i="4"/>
  <c r="BP54" i="4"/>
  <c r="BP57" i="4"/>
  <c r="AJ55" i="4"/>
  <c r="AJ56" i="4"/>
  <c r="AJ57" i="4"/>
  <c r="AJ54" i="4"/>
  <c r="AM16" i="4"/>
  <c r="L30" i="4"/>
  <c r="AT16" i="4"/>
  <c r="U16" i="4"/>
  <c r="BA16" i="4"/>
  <c r="X130" i="4"/>
  <c r="C154" i="4"/>
  <c r="C156" i="4"/>
  <c r="Y130" i="4"/>
  <c r="Y131" i="4"/>
  <c r="Y132" i="4"/>
  <c r="Y129" i="4"/>
  <c r="N129" i="4"/>
  <c r="N132" i="4"/>
  <c r="N131" i="4"/>
  <c r="M132" i="4"/>
  <c r="M129" i="4"/>
  <c r="M131" i="4"/>
  <c r="L131" i="4"/>
  <c r="L129" i="4"/>
  <c r="L132" i="4"/>
  <c r="T16" i="4"/>
  <c r="AZ16" i="4"/>
  <c r="AA157" i="4"/>
  <c r="AA155" i="4"/>
  <c r="AA154" i="4"/>
  <c r="AA156" i="4"/>
  <c r="R156" i="4"/>
  <c r="R155" i="4"/>
  <c r="R154" i="4"/>
  <c r="R157" i="4"/>
  <c r="P105" i="4"/>
  <c r="P106" i="4"/>
  <c r="P104" i="4"/>
  <c r="P107" i="4"/>
  <c r="E157" i="4"/>
  <c r="M80" i="4"/>
  <c r="M79" i="4"/>
  <c r="M82" i="4"/>
  <c r="M81" i="4"/>
  <c r="AG82" i="4"/>
  <c r="AG79" i="4"/>
  <c r="AG80" i="4"/>
  <c r="AG81" i="4"/>
  <c r="I107" i="4"/>
  <c r="I105" i="4"/>
  <c r="I104" i="4"/>
  <c r="I106" i="4"/>
  <c r="D106" i="4"/>
  <c r="E5" i="4" s="1"/>
  <c r="D5" i="9" s="1"/>
  <c r="D107" i="4"/>
  <c r="D105" i="4"/>
  <c r="E2" i="4" s="1"/>
  <c r="E2" i="9" s="1"/>
  <c r="D104" i="4"/>
  <c r="E3" i="4" s="1"/>
  <c r="D3" i="9" s="1"/>
  <c r="X106" i="4"/>
  <c r="Y55" i="4"/>
  <c r="Y56" i="4"/>
  <c r="Y57" i="4"/>
  <c r="Y54" i="4"/>
  <c r="AC31" i="4"/>
  <c r="AC32" i="4"/>
  <c r="AC29" i="4"/>
  <c r="O130" i="4"/>
  <c r="AD55" i="4"/>
  <c r="AA55" i="4"/>
  <c r="AA56" i="4"/>
  <c r="AA57" i="4"/>
  <c r="AA54" i="4"/>
  <c r="AL55" i="4"/>
  <c r="AK41" i="4"/>
  <c r="AK56" i="4" s="1"/>
  <c r="AQ55" i="4"/>
  <c r="AQ56" i="4"/>
  <c r="AQ57" i="4"/>
  <c r="AQ54" i="4"/>
  <c r="BF56" i="4"/>
  <c r="BF57" i="4"/>
  <c r="BF54" i="4"/>
  <c r="Z56" i="4"/>
  <c r="Z57" i="4"/>
  <c r="Z54" i="4"/>
  <c r="BI55" i="4"/>
  <c r="BI57" i="4"/>
  <c r="BI56" i="4"/>
  <c r="BI54" i="4"/>
  <c r="AC55" i="4"/>
  <c r="AC57" i="4"/>
  <c r="AC56" i="4"/>
  <c r="AC54" i="4"/>
  <c r="BL55" i="4"/>
  <c r="BL57" i="4"/>
  <c r="BL56" i="4"/>
  <c r="BL54" i="4"/>
  <c r="AF55" i="4"/>
  <c r="AF56" i="4"/>
  <c r="AF54" i="4"/>
  <c r="AF57" i="4"/>
  <c r="M41" i="4"/>
  <c r="M55" i="4" s="1"/>
  <c r="D16" i="4"/>
  <c r="I16" i="4"/>
  <c r="I29" i="4" s="1"/>
  <c r="AQ16" i="4"/>
  <c r="R16" i="4"/>
  <c r="AX16" i="4"/>
  <c r="Y16" i="4"/>
  <c r="BE16" i="4"/>
  <c r="E130" i="4"/>
  <c r="H129" i="4"/>
  <c r="H132" i="4"/>
  <c r="H131" i="4"/>
  <c r="Z131" i="4"/>
  <c r="Z129" i="4"/>
  <c r="Z132" i="4"/>
  <c r="M130" i="4"/>
  <c r="X16" i="4"/>
  <c r="BD16" i="4"/>
  <c r="S130" i="4"/>
  <c r="B156" i="4"/>
  <c r="B154" i="4"/>
  <c r="G156" i="4"/>
  <c r="G155" i="4"/>
  <c r="G157" i="4"/>
  <c r="G154" i="4"/>
  <c r="O129" i="4"/>
  <c r="P155" i="4"/>
  <c r="P156" i="4"/>
  <c r="P157" i="4"/>
  <c r="P154" i="4"/>
  <c r="W157" i="4"/>
  <c r="W154" i="4"/>
  <c r="W156" i="4"/>
  <c r="W155" i="4"/>
  <c r="Q79" i="4"/>
  <c r="Q80" i="4"/>
  <c r="Q82" i="4"/>
  <c r="Q81" i="4"/>
  <c r="AA82" i="4"/>
  <c r="AA81" i="4"/>
  <c r="AA79" i="4"/>
  <c r="D3" i="4" s="1"/>
  <c r="AA80" i="4"/>
  <c r="H156" i="4"/>
  <c r="H155" i="4"/>
  <c r="O107" i="4"/>
  <c r="O104" i="4"/>
  <c r="O106" i="4"/>
  <c r="O105" i="4"/>
  <c r="F106" i="4"/>
  <c r="F107" i="4"/>
  <c r="F105" i="4"/>
  <c r="F104" i="4"/>
  <c r="Y107" i="4"/>
  <c r="Y105" i="4"/>
  <c r="Y104" i="4"/>
  <c r="Y106" i="4"/>
  <c r="X104" i="4"/>
  <c r="BA32" i="4" l="1"/>
  <c r="BA29" i="4"/>
  <c r="BA31" i="4"/>
  <c r="BA30" i="4"/>
  <c r="AW31" i="4"/>
  <c r="AW29" i="4"/>
  <c r="AW32" i="4"/>
  <c r="AW30" i="4"/>
  <c r="J30" i="4"/>
  <c r="J32" i="4"/>
  <c r="J29" i="4"/>
  <c r="J31" i="4"/>
  <c r="BC30" i="4"/>
  <c r="BC29" i="4"/>
  <c r="BC32" i="4"/>
  <c r="BC31" i="4"/>
  <c r="B29" i="4"/>
  <c r="B31" i="4"/>
  <c r="B32" i="4"/>
  <c r="B30" i="4"/>
  <c r="T54" i="4"/>
  <c r="BE31" i="4"/>
  <c r="BE29" i="4"/>
  <c r="BE32" i="4"/>
  <c r="BE30" i="4"/>
  <c r="AQ30" i="4"/>
  <c r="AQ31" i="4"/>
  <c r="AQ32" i="4"/>
  <c r="AQ29" i="4"/>
  <c r="AV32" i="4"/>
  <c r="AV29" i="4"/>
  <c r="AV31" i="4"/>
  <c r="AV30" i="4"/>
  <c r="I30" i="4"/>
  <c r="AR29" i="4"/>
  <c r="AR32" i="4"/>
  <c r="AR31" i="4"/>
  <c r="AR30" i="4"/>
  <c r="AY54" i="4"/>
  <c r="H30" i="4"/>
  <c r="H31" i="4"/>
  <c r="H29" i="4"/>
  <c r="H32" i="4"/>
  <c r="F54" i="4"/>
  <c r="F56" i="4"/>
  <c r="F57" i="4"/>
  <c r="F55" i="4"/>
  <c r="AM55" i="4"/>
  <c r="AO32" i="4"/>
  <c r="AO31" i="4"/>
  <c r="AO29" i="4"/>
  <c r="AO30" i="4"/>
  <c r="P54" i="4"/>
  <c r="M57" i="4"/>
  <c r="J56" i="4"/>
  <c r="F5" i="4"/>
  <c r="E5" i="9" s="1"/>
  <c r="T55" i="4"/>
  <c r="AT54" i="4"/>
  <c r="AF32" i="4"/>
  <c r="AF29" i="4"/>
  <c r="AF31" i="4"/>
  <c r="AF30" i="4"/>
  <c r="Z30" i="4"/>
  <c r="Z32" i="4"/>
  <c r="Z31" i="4"/>
  <c r="Z29" i="4"/>
  <c r="S55" i="4"/>
  <c r="BD57" i="4"/>
  <c r="BK54" i="4"/>
  <c r="AB56" i="4"/>
  <c r="AD30" i="4"/>
  <c r="AD32" i="4"/>
  <c r="AD29" i="4"/>
  <c r="AD31" i="4"/>
  <c r="AY57" i="4"/>
  <c r="F4" i="4"/>
  <c r="E4" i="9" s="1"/>
  <c r="BL32" i="4"/>
  <c r="BL31" i="4"/>
  <c r="BL29" i="4"/>
  <c r="BL30" i="4"/>
  <c r="Y32" i="4"/>
  <c r="Y31" i="4"/>
  <c r="Y29" i="4"/>
  <c r="Y30" i="4"/>
  <c r="AT30" i="4"/>
  <c r="AT31" i="4"/>
  <c r="AT32" i="4"/>
  <c r="AT29" i="4"/>
  <c r="P29" i="4"/>
  <c r="P31" i="4"/>
  <c r="P32" i="4"/>
  <c r="P30" i="4"/>
  <c r="M29" i="4"/>
  <c r="M31" i="4"/>
  <c r="M32" i="4"/>
  <c r="M30" i="4"/>
  <c r="AY56" i="4"/>
  <c r="AO56" i="4"/>
  <c r="D56" i="4"/>
  <c r="D54" i="4"/>
  <c r="D57" i="4"/>
  <c r="D55" i="4"/>
  <c r="AL57" i="4"/>
  <c r="AP57" i="4"/>
  <c r="F2" i="4"/>
  <c r="F3" i="4"/>
  <c r="E3" i="9" s="1"/>
  <c r="AU57" i="4"/>
  <c r="AZ54" i="4"/>
  <c r="AW54" i="4"/>
  <c r="AT56" i="4"/>
  <c r="BH54" i="4"/>
  <c r="BD55" i="4"/>
  <c r="BK56" i="4"/>
  <c r="AK55" i="4"/>
  <c r="BD54" i="4"/>
  <c r="E55" i="4"/>
  <c r="E57" i="4"/>
  <c r="E54" i="4"/>
  <c r="E56" i="4"/>
  <c r="O57" i="4"/>
  <c r="O54" i="4"/>
  <c r="O56" i="4"/>
  <c r="O55" i="4"/>
  <c r="W30" i="4"/>
  <c r="W32" i="4"/>
  <c r="W31" i="4"/>
  <c r="W29" i="4"/>
  <c r="AX54" i="4"/>
  <c r="D32" i="4"/>
  <c r="D31" i="4"/>
  <c r="D29" i="4"/>
  <c r="D30" i="4"/>
  <c r="BO30" i="4"/>
  <c r="BO32" i="4"/>
  <c r="BO29" i="4"/>
  <c r="BO31" i="4"/>
  <c r="AS32" i="4"/>
  <c r="AS29" i="4"/>
  <c r="AS31" i="4"/>
  <c r="AS30" i="4"/>
  <c r="L54" i="4"/>
  <c r="AO57" i="4"/>
  <c r="C55" i="4"/>
  <c r="C54" i="4"/>
  <c r="C56" i="4"/>
  <c r="C57" i="4"/>
  <c r="B54" i="4"/>
  <c r="B56" i="4"/>
  <c r="B57" i="4"/>
  <c r="B55" i="4"/>
  <c r="BO56" i="4"/>
  <c r="BO57" i="4"/>
  <c r="BO54" i="4"/>
  <c r="BO55" i="4"/>
  <c r="AI56" i="4"/>
  <c r="AI57" i="4"/>
  <c r="AI54" i="4"/>
  <c r="AI55" i="4"/>
  <c r="AL54" i="4"/>
  <c r="AV54" i="4"/>
  <c r="AP56" i="4"/>
  <c r="V54" i="4"/>
  <c r="BP32" i="4"/>
  <c r="BP31" i="4"/>
  <c r="BP29" i="4"/>
  <c r="BP30" i="4"/>
  <c r="AK32" i="4"/>
  <c r="AK29" i="4"/>
  <c r="AK31" i="4"/>
  <c r="AK30" i="4"/>
  <c r="AU54" i="4"/>
  <c r="AZ57" i="4"/>
  <c r="AW56" i="4"/>
  <c r="AT57" i="4"/>
  <c r="BH57" i="4"/>
  <c r="X56" i="4"/>
  <c r="U56" i="4"/>
  <c r="R54" i="4"/>
  <c r="BK57" i="4"/>
  <c r="BD31" i="4"/>
  <c r="BD32" i="4"/>
  <c r="BD29" i="4"/>
  <c r="BD30" i="4"/>
  <c r="C31" i="4"/>
  <c r="C29" i="4"/>
  <c r="C32" i="4"/>
  <c r="C30" i="4"/>
  <c r="S54" i="4"/>
  <c r="H57" i="4"/>
  <c r="H56" i="4"/>
  <c r="H54" i="4"/>
  <c r="H55" i="4"/>
  <c r="G3" i="4"/>
  <c r="F3" i="9" s="1"/>
  <c r="V55" i="4"/>
  <c r="AI30" i="4"/>
  <c r="AI29" i="4"/>
  <c r="AI31" i="4"/>
  <c r="AI32" i="4"/>
  <c r="AK57" i="4"/>
  <c r="AH54" i="4"/>
  <c r="N30" i="4"/>
  <c r="N32" i="4"/>
  <c r="N29" i="4"/>
  <c r="N31" i="4"/>
  <c r="G30" i="4"/>
  <c r="G32" i="4"/>
  <c r="G29" i="4"/>
  <c r="G31" i="4"/>
  <c r="AO54" i="4"/>
  <c r="K29" i="4"/>
  <c r="BN30" i="4"/>
  <c r="BN32" i="4"/>
  <c r="BN29" i="4"/>
  <c r="BN31" i="4"/>
  <c r="BG30" i="4"/>
  <c r="BG29" i="4"/>
  <c r="BG31" i="4"/>
  <c r="BG32" i="4"/>
  <c r="AV57" i="4"/>
  <c r="AP54" i="4"/>
  <c r="V57" i="4"/>
  <c r="AJ29" i="4"/>
  <c r="AJ31" i="4"/>
  <c r="AJ32" i="4"/>
  <c r="AJ30" i="4"/>
  <c r="AU56" i="4"/>
  <c r="AZ56" i="4"/>
  <c r="AW57" i="4"/>
  <c r="BG57" i="4"/>
  <c r="BH56" i="4"/>
  <c r="BM29" i="4"/>
  <c r="BM32" i="4"/>
  <c r="BM31" i="4"/>
  <c r="BM30" i="4"/>
  <c r="X57" i="4"/>
  <c r="U57" i="4"/>
  <c r="R57" i="4"/>
  <c r="X29" i="4"/>
  <c r="X32" i="4"/>
  <c r="X31" i="4"/>
  <c r="X30" i="4"/>
  <c r="BF30" i="4"/>
  <c r="BF32" i="4"/>
  <c r="BF31" i="4"/>
  <c r="BF29" i="4"/>
  <c r="G5" i="4"/>
  <c r="F5" i="9" s="1"/>
  <c r="AX30" i="4"/>
  <c r="AX31" i="4"/>
  <c r="AX32" i="4"/>
  <c r="AX29" i="4"/>
  <c r="AZ32" i="4"/>
  <c r="AZ31" i="4"/>
  <c r="AZ29" i="4"/>
  <c r="AZ30" i="4"/>
  <c r="I31" i="4"/>
  <c r="AK54" i="4"/>
  <c r="AH56" i="4"/>
  <c r="BK30" i="4"/>
  <c r="BK31" i="4"/>
  <c r="BK29" i="4"/>
  <c r="BK32" i="4"/>
  <c r="G55" i="4"/>
  <c r="G57" i="4"/>
  <c r="G56" i="4"/>
  <c r="G54" i="4"/>
  <c r="K32" i="4"/>
  <c r="AH30" i="4"/>
  <c r="AH31" i="4"/>
  <c r="AH32" i="4"/>
  <c r="AH29" i="4"/>
  <c r="AA30" i="4"/>
  <c r="AA31" i="4"/>
  <c r="AA29" i="4"/>
  <c r="AA32" i="4"/>
  <c r="AV56" i="4"/>
  <c r="BG54" i="4"/>
  <c r="AG31" i="4"/>
  <c r="AG32" i="4"/>
  <c r="AG29" i="4"/>
  <c r="AG30" i="4"/>
  <c r="X54" i="4"/>
  <c r="U54" i="4"/>
  <c r="BC57" i="4"/>
  <c r="U29" i="4"/>
  <c r="U32" i="4"/>
  <c r="U31" i="4"/>
  <c r="U30" i="4"/>
  <c r="Q29" i="4"/>
  <c r="Q32" i="4"/>
  <c r="Q31" i="4"/>
  <c r="Q30" i="4"/>
  <c r="S56" i="4"/>
  <c r="R30" i="4"/>
  <c r="R29" i="4"/>
  <c r="R31" i="4"/>
  <c r="R32" i="4"/>
  <c r="T29" i="4"/>
  <c r="T32" i="4"/>
  <c r="T31" i="4"/>
  <c r="T30" i="4"/>
  <c r="AM30" i="4"/>
  <c r="AM31" i="4"/>
  <c r="AM32" i="4"/>
  <c r="AM29" i="4"/>
  <c r="AP30" i="4"/>
  <c r="AP32" i="4"/>
  <c r="AP29" i="4"/>
  <c r="AP31" i="4"/>
  <c r="AH57" i="4"/>
  <c r="AL30" i="4"/>
  <c r="AL32" i="4"/>
  <c r="AL29" i="4"/>
  <c r="AL31" i="4"/>
  <c r="AE30" i="4"/>
  <c r="AE32" i="4"/>
  <c r="AE31" i="4"/>
  <c r="AE29" i="4"/>
  <c r="G4" i="4"/>
  <c r="F4" i="9" s="1"/>
  <c r="BJ30" i="4"/>
  <c r="BJ31" i="4"/>
  <c r="BJ32" i="4"/>
  <c r="BJ29" i="4"/>
  <c r="AX57" i="4"/>
  <c r="B2" i="4" l="1"/>
  <c r="B2" i="9" s="1"/>
  <c r="B6" i="9" s="1"/>
  <c r="B4" i="4"/>
  <c r="B4" i="9" s="1"/>
  <c r="C2" i="4"/>
  <c r="H12" i="14"/>
  <c r="F2" i="9"/>
  <c r="B5" i="4"/>
  <c r="B5" i="9" s="1"/>
  <c r="C4" i="4"/>
  <c r="C5" i="4"/>
  <c r="B3" i="4"/>
  <c r="B3" i="9" s="1"/>
  <c r="C3" i="4"/>
  <c r="H28" i="14" l="1"/>
  <c r="I73" i="14"/>
  <c r="I78" i="14" s="1"/>
  <c r="N73" i="14"/>
  <c r="N78" i="14" s="1"/>
  <c r="G73" i="14"/>
  <c r="G78" i="14" s="1"/>
  <c r="Z73" i="14"/>
  <c r="Z78" i="14" s="1"/>
  <c r="AE73" i="14"/>
  <c r="AE78" i="14" s="1"/>
  <c r="AG73" i="14"/>
  <c r="AG78" i="14" s="1"/>
  <c r="H73" i="14"/>
  <c r="H78" i="14" s="1"/>
  <c r="W73" i="14"/>
  <c r="W78" i="14" s="1"/>
  <c r="AD73" i="14"/>
  <c r="AD78" i="14" s="1"/>
  <c r="V73" i="14"/>
  <c r="V78" i="14" s="1"/>
  <c r="P73" i="14"/>
  <c r="P78" i="14" s="1"/>
  <c r="L73" i="14"/>
  <c r="L78" i="14" s="1"/>
  <c r="U73" i="14"/>
  <c r="U78" i="14" s="1"/>
  <c r="R73" i="14"/>
  <c r="R78" i="14" s="1"/>
  <c r="Q73" i="14"/>
  <c r="Q78" i="14" s="1"/>
  <c r="AF73" i="14"/>
  <c r="AF78" i="14" s="1"/>
  <c r="S73" i="14"/>
  <c r="S78" i="14" s="1"/>
  <c r="AC73" i="14"/>
  <c r="AC78" i="14" s="1"/>
  <c r="F73" i="14"/>
  <c r="F78" i="14" s="1"/>
  <c r="M73" i="14"/>
  <c r="M78" i="14" s="1"/>
  <c r="O73" i="14"/>
  <c r="O78" i="14" s="1"/>
  <c r="K73" i="14"/>
  <c r="K78" i="14" s="1"/>
  <c r="AA73" i="14"/>
  <c r="AA78" i="14" s="1"/>
  <c r="D73" i="14"/>
  <c r="D78" i="14" s="1"/>
  <c r="J73" i="14"/>
  <c r="J78" i="14" s="1"/>
  <c r="Y73" i="14"/>
  <c r="Y78" i="14" s="1"/>
  <c r="AB73" i="14"/>
  <c r="AB78" i="14" s="1"/>
  <c r="X73" i="14"/>
  <c r="X78" i="14" s="1"/>
  <c r="T73" i="14"/>
  <c r="T78" i="14" s="1"/>
  <c r="E73" i="14"/>
  <c r="E78" i="14" s="1"/>
  <c r="C2" i="9"/>
  <c r="C6" i="9" s="1"/>
  <c r="B12" i="14"/>
  <c r="B28" i="14" s="1"/>
  <c r="P56" i="14" l="1"/>
  <c r="P63" i="14" s="1"/>
  <c r="V56" i="14"/>
  <c r="V63" i="14" s="1"/>
  <c r="Q56" i="14"/>
  <c r="Q63" i="14" s="1"/>
  <c r="I56" i="14"/>
  <c r="I63" i="14" s="1"/>
  <c r="H56" i="14"/>
  <c r="H63" i="14" s="1"/>
  <c r="X56" i="14"/>
  <c r="X63" i="14" s="1"/>
  <c r="E56" i="14"/>
  <c r="E63" i="14" s="1"/>
  <c r="J56" i="14"/>
  <c r="J63" i="14" s="1"/>
  <c r="O56" i="14"/>
  <c r="O63" i="14" s="1"/>
  <c r="R56" i="14"/>
  <c r="R63" i="14" s="1"/>
  <c r="W56" i="14"/>
  <c r="W63" i="14" s="1"/>
  <c r="G56" i="14"/>
  <c r="G63" i="14" s="1"/>
  <c r="U56" i="14"/>
  <c r="U63" i="14" s="1"/>
  <c r="S56" i="14"/>
  <c r="S63" i="14" s="1"/>
  <c r="M56" i="14"/>
  <c r="M63" i="14" s="1"/>
  <c r="F56" i="14"/>
  <c r="F63" i="14" s="1"/>
  <c r="K56" i="14"/>
  <c r="K63" i="14" s="1"/>
  <c r="L56" i="14"/>
  <c r="L63" i="14" s="1"/>
  <c r="T56" i="14"/>
  <c r="T63" i="14" s="1"/>
  <c r="N56" i="14"/>
  <c r="N63" i="14" s="1"/>
  <c r="H5" i="14"/>
  <c r="B3" i="14" l="1"/>
  <c r="B4"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tc={B705AAA9-B49C-F848-BF80-5F9757AD65FF}</author>
    <author>tc={44B7AF2A-1C69-534D-B8A1-FCF23E40369F}</author>
    <author>tc={E8BC2F8A-93FF-8D48-8905-7284D6688191}</author>
    <author>tc={9AAC88F2-5E5A-9D4D-9062-A8BB78C7584F}</author>
    <author>tc={0765A620-9031-E340-9E4F-240BF0BA6AC3}</author>
    <author>tc={2D6CAE15-D174-8849-B177-731FF43B21CF}</author>
    <author>tc={3DA00962-640E-8F4F-A576-3DA756C2CD4E}</author>
  </authors>
  <commentList>
    <comment ref="B14" authorId="0" shapeId="0" xr:uid="{00000000-0006-0000-0000-00000100000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Assume that financing is acquired on the first day of the year and the interest is payed on the last day of the year. </t>
        </r>
      </text>
    </comment>
    <comment ref="I15" authorId="1" shapeId="0" xr:uid="{00000000-0006-0000-0000-000002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Assume that the instalment is done on the last day of the year in order to simulate that the plant needs to generate revenue to pay off the instalment. Interest in t=1 is thus for the total construction cost, and interest is t=2 is the total construction cost minus the instalment payed back in t=1.</t>
        </r>
      </text>
    </comment>
    <comment ref="A23" authorId="2" shapeId="0" xr:uid="{00000000-0006-0000-0000-000003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discounted</t>
        </r>
      </text>
    </comment>
    <comment ref="A48" authorId="3" shapeId="0" xr:uid="{00000000-0006-0000-0000-000004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discounted</t>
        </r>
      </text>
    </comment>
    <comment ref="A73" authorId="4" shapeId="0" xr:uid="{00000000-0006-0000-0000-000005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discounted</t>
        </r>
      </text>
    </comment>
    <comment ref="A98" authorId="5" shapeId="0" xr:uid="{00000000-0006-0000-0000-000006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discounted</t>
        </r>
      </text>
    </comment>
    <comment ref="A123" authorId="6" shapeId="0" xr:uid="{00000000-0006-0000-0000-000007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discounted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tc={08507280-85AB-154C-92BB-979B500003BC}</author>
    <author>tc={AA2CF699-36AF-2740-8727-DB8ED73B8B88}</author>
  </authors>
  <commentList>
    <comment ref="H36" authorId="0" shapeId="0" xr:uid="{00000000-0006-0000-0100-000001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Assumption</t>
        </r>
      </text>
    </comment>
    <comment ref="N38" authorId="1" shapeId="0" xr:uid="{00000000-0006-0000-0100-000002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discounted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tc={8029BD41-FDB9-F14A-9007-5262390AD95B}</author>
  </authors>
  <commentList>
    <comment ref="B27" authorId="0" shapeId="0" xr:uid="{00000000-0006-0000-0200-000001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Average construction cost of Flamanville 3 and Olkiluoto 3.</t>
        </r>
      </text>
    </comment>
  </commentList>
</comments>
</file>

<file path=xl/sharedStrings.xml><?xml version="1.0" encoding="utf-8"?>
<sst xmlns="http://schemas.openxmlformats.org/spreadsheetml/2006/main" count="626" uniqueCount="272">
  <si>
    <t>Fuel cost</t>
  </si>
  <si>
    <t>Nuclear</t>
  </si>
  <si>
    <t>Solar</t>
  </si>
  <si>
    <t>Wind, on-shore</t>
  </si>
  <si>
    <t>Wind-off-shore</t>
  </si>
  <si>
    <t>Reference</t>
  </si>
  <si>
    <t>URL</t>
  </si>
  <si>
    <r>
      <t xml:space="preserve">OECD NEA (2019). </t>
    </r>
    <r>
      <rPr>
        <i/>
        <sz val="12"/>
        <color theme="1"/>
        <rFont val="Calibri"/>
        <family val="2"/>
        <scheme val="minor"/>
      </rPr>
      <t>The Costs of Dearbonisation: System Costs with High Shares of Nuclear and Renewables</t>
    </r>
    <r>
      <rPr>
        <sz val="12"/>
        <color theme="1"/>
        <rFont val="Calibri"/>
        <family val="2"/>
        <scheme val="minor"/>
      </rPr>
      <t>. OECD-NEA</t>
    </r>
  </si>
  <si>
    <t>https://www.oecd-nea.org/ndd/pubs/2019/7299-system-costs.pdf</t>
  </si>
  <si>
    <t>Technical parameters</t>
  </si>
  <si>
    <t>Electrical capacity per unit</t>
  </si>
  <si>
    <t>Electrical efficiency</t>
  </si>
  <si>
    <t>Full load hours</t>
  </si>
  <si>
    <t>Heat efficiency</t>
  </si>
  <si>
    <t>Cost parameters</t>
  </si>
  <si>
    <t>System costs</t>
  </si>
  <si>
    <t>Other parameters</t>
  </si>
  <si>
    <t>Land use per unit</t>
  </si>
  <si>
    <t>Cost of waste processing and storage</t>
  </si>
  <si>
    <t>Decommissioning</t>
  </si>
  <si>
    <t>Subsidies and taxes</t>
  </si>
  <si>
    <t>Electrical capacity per unit (MWe)</t>
  </si>
  <si>
    <t>OECD-NEA, 2019</t>
  </si>
  <si>
    <t>Capital cost (incl. Cost of capital)</t>
  </si>
  <si>
    <t>Notes</t>
  </si>
  <si>
    <t>p. 95 cost assumptions</t>
  </si>
  <si>
    <t>Maintenance and operation cost, fixed</t>
  </si>
  <si>
    <t>Maintenance and operation cost, variable</t>
  </si>
  <si>
    <t>OECD-NEA, 2018</t>
  </si>
  <si>
    <r>
      <t xml:space="preserve">OECD-NEA (2018). </t>
    </r>
    <r>
      <rPr>
        <i/>
        <sz val="12"/>
        <color theme="1"/>
        <rFont val="Calibri"/>
        <family val="2"/>
        <scheme val="minor"/>
      </rPr>
      <t>The Full Cost of Electricity Provision</t>
    </r>
    <r>
      <rPr>
        <sz val="12"/>
        <color theme="1"/>
        <rFont val="Calibri"/>
        <family val="2"/>
        <scheme val="minor"/>
      </rPr>
      <t xml:space="preserve">. </t>
    </r>
  </si>
  <si>
    <t>https://www.oecd-nea.org/ndd/pubs/2018/7298-full-costs-2018.pdf</t>
  </si>
  <si>
    <t>TNO, 2018</t>
  </si>
  <si>
    <r>
      <t xml:space="preserve">Gamboa Palacios, S. and Jansen J. (2018). </t>
    </r>
    <r>
      <rPr>
        <i/>
        <sz val="12"/>
        <color theme="1"/>
        <rFont val="Calibri"/>
        <family val="2"/>
        <scheme val="minor"/>
      </rPr>
      <t>Nuclear energy economics: An update to Fact Finding Nuclear Energy</t>
    </r>
    <r>
      <rPr>
        <sz val="12"/>
        <color theme="1"/>
        <rFont val="Calibri"/>
        <family val="2"/>
        <scheme val="minor"/>
      </rPr>
      <t>. TNO.</t>
    </r>
  </si>
  <si>
    <t>https://publications.tno.nl/publication/34627557/x1eQo8/TNO-2018-P11577.pdf&amp;usg=AOvVaw1Is_fyrrvkeyXKAx-jaX-2</t>
  </si>
  <si>
    <t>WNISR, 2019</t>
  </si>
  <si>
    <t>ETM</t>
  </si>
  <si>
    <t>Construction time per unit (years)</t>
  </si>
  <si>
    <t>Technical lifetime (years)</t>
  </si>
  <si>
    <t>1.9 (mean)</t>
  </si>
  <si>
    <t>This is the 2018 US average generating cost in USD</t>
  </si>
  <si>
    <t>37.4 (wind in general)</t>
  </si>
  <si>
    <t>8.58 USD/MWh, NEA based on South-Korea</t>
  </si>
  <si>
    <t>3600-7200€(2017)/kWe, financing costs 20-29 % of OCC</t>
  </si>
  <si>
    <t>0.54-0.95€/kWh  fuel costs</t>
  </si>
  <si>
    <t>0.16-0.3€/kWh</t>
  </si>
  <si>
    <t>0.18 €/kWh</t>
  </si>
  <si>
    <t>https://www.worldnuclearreport.org/IMG/pdf/wnisr2019-v2-hr.pdf</t>
  </si>
  <si>
    <t>1300 MW (median)</t>
  </si>
  <si>
    <t>1 MW (commercial), 200 MW (large)</t>
  </si>
  <si>
    <t>20 MW</t>
  </si>
  <si>
    <t>223 MW (median)</t>
  </si>
  <si>
    <t>1804 USD/kWe, overnight cost</t>
  </si>
  <si>
    <t>1436 USD/kWe, overnight cost, large</t>
  </si>
  <si>
    <t>4998 USD/kWe</t>
  </si>
  <si>
    <t>4896 USD7kWe, overnight costs</t>
  </si>
  <si>
    <t>27 at 10%, 43 at 30%, see p. 88</t>
  </si>
  <si>
    <t>3 USD/MWh, at both 10 and 30%, see p. 88</t>
  </si>
  <si>
    <t>15 at 10%, 27 at 30%, see p. 88</t>
  </si>
  <si>
    <t>27 at 10%, 34 at 30%, see p. 88</t>
  </si>
  <si>
    <t>4700 USD/kW, overnight cost</t>
  </si>
  <si>
    <t>100000 USD/MW/year</t>
  </si>
  <si>
    <t>1.5 USD/MWh</t>
  </si>
  <si>
    <t>1605 MW</t>
  </si>
  <si>
    <t>49030 €/Mwe/year</t>
  </si>
  <si>
    <t>6288 €/full load hour</t>
  </si>
  <si>
    <t>500000 €/Mwe</t>
  </si>
  <si>
    <t>3000000 €/Mwe</t>
  </si>
  <si>
    <t>5 km2</t>
  </si>
  <si>
    <t>871000 €/MWe</t>
  </si>
  <si>
    <t>15900€/Mwe/year</t>
  </si>
  <si>
    <t>3 MW</t>
  </si>
  <si>
    <t>3902000/Mwe</t>
  </si>
  <si>
    <t>142960 €/Mwe/year</t>
  </si>
  <si>
    <t>1391000 €7MWe</t>
  </si>
  <si>
    <t>49190 €/Mwe/year</t>
  </si>
  <si>
    <t>150.5 USD/MWh, average based on</t>
  </si>
  <si>
    <t>Depends on the level of different sources in the mix</t>
  </si>
  <si>
    <t>1000 MWe</t>
  </si>
  <si>
    <t>Investment cost</t>
  </si>
  <si>
    <t>7% discount rate</t>
  </si>
  <si>
    <t>System costs (a categories)</t>
  </si>
  <si>
    <t>Batteries</t>
  </si>
  <si>
    <t>Hydro (pump)</t>
  </si>
  <si>
    <t>Hydrogen</t>
  </si>
  <si>
    <t>10 MWe</t>
  </si>
  <si>
    <t>250 MWe</t>
  </si>
  <si>
    <t>50 MWe</t>
  </si>
  <si>
    <t>1 MWe</t>
  </si>
  <si>
    <t>1146 USD/kWh</t>
  </si>
  <si>
    <t>10 USD/MWh</t>
  </si>
  <si>
    <t>LCOE without subsidies</t>
  </si>
  <si>
    <t>LCOE with CO2 tax</t>
  </si>
  <si>
    <t>LCOE with system costs</t>
  </si>
  <si>
    <t>Add decommissioning and waste</t>
  </si>
  <si>
    <t>10 MW input</t>
  </si>
  <si>
    <t>1867 for solar PV, 4000 for offshore wind</t>
  </si>
  <si>
    <t>7% WACC</t>
  </si>
  <si>
    <t>85% round trip efficiency</t>
  </si>
  <si>
    <t>4% WACC</t>
  </si>
  <si>
    <t>Full load hours (h)</t>
  </si>
  <si>
    <t>Lazard, 2018</t>
  </si>
  <si>
    <t>6900-12200 USD/kWe</t>
  </si>
  <si>
    <t>108.5-133 USD/kW/year</t>
  </si>
  <si>
    <t>3.5-4.25 USD/MWh</t>
  </si>
  <si>
    <t>0.85  USD/MMBtu</t>
  </si>
  <si>
    <t>90-91% capacity factor</t>
  </si>
  <si>
    <t>15-25% capacity factor</t>
  </si>
  <si>
    <t>900-110 USD/kW</t>
  </si>
  <si>
    <t>9-12 USD/kW/year</t>
  </si>
  <si>
    <t>38-55%</t>
  </si>
  <si>
    <t>1100-1500 USD/kW</t>
  </si>
  <si>
    <t>28-36.5 USD/kWYear</t>
  </si>
  <si>
    <t>210-385 MW</t>
  </si>
  <si>
    <t>2350-3550 USD/kW</t>
  </si>
  <si>
    <t>80-110 USD/kWYear</t>
  </si>
  <si>
    <t>45-55%</t>
  </si>
  <si>
    <t>https://www.lazard.com/media/451086/lazards-levelized-cost-of-energy-version-130-vf.pdf</t>
  </si>
  <si>
    <t>Maintenance and operation cost, fixed (€/MWe/year)</t>
  </si>
  <si>
    <t>Fuel cost (€/MWh)</t>
  </si>
  <si>
    <t>Cost of waste processing and storage (€/MWh)</t>
  </si>
  <si>
    <t>ASSUMPTIONS PARAMETERS</t>
  </si>
  <si>
    <t>Decommissioning cost as % of capital cost (non-nuclear)</t>
  </si>
  <si>
    <t>Decommissioning (€/MWh)</t>
  </si>
  <si>
    <t>Full load hours (h/year)</t>
  </si>
  <si>
    <t>Capital cost (€/MWe)</t>
  </si>
  <si>
    <t>Electrical capacity per unit as a share of the reference</t>
  </si>
  <si>
    <t>Electrical efficiency as a share of the reference</t>
  </si>
  <si>
    <t>Full load hours as a share of the reference</t>
  </si>
  <si>
    <t>Capital cost as a share of the reference</t>
  </si>
  <si>
    <t>Maintenance and operation cost, fixed, as a share of reference</t>
  </si>
  <si>
    <t>Maintenance and operation cost, variable, as a share of reference</t>
  </si>
  <si>
    <t>Fuel cost as a share of reference</t>
  </si>
  <si>
    <t>System costs as a share of reference</t>
  </si>
  <si>
    <t>Cost of waste processing and storage as a share of reference</t>
  </si>
  <si>
    <t>Decommissioning as a share of reference</t>
  </si>
  <si>
    <t>Depreciation rate as a share of reference</t>
  </si>
  <si>
    <t>External parameters</t>
  </si>
  <si>
    <t>Batteries (MW)</t>
  </si>
  <si>
    <t>Hydrogen (MW)</t>
  </si>
  <si>
    <t>Hydro (pump) (MW)</t>
  </si>
  <si>
    <t>CO2 price (€/ton CO2)</t>
  </si>
  <si>
    <t>ASSUMPTIONS MODEL</t>
  </si>
  <si>
    <t>129 MWh</t>
  </si>
  <si>
    <t>475000 €/MW</t>
  </si>
  <si>
    <t>4760 €/MW/year</t>
  </si>
  <si>
    <t>Flexibility capacities</t>
  </si>
  <si>
    <t>LCOE</t>
  </si>
  <si>
    <t>LCOE with system costs and CO2 tax</t>
  </si>
  <si>
    <t>Wind on-shore</t>
  </si>
  <si>
    <t>Electrical energy generated in year t (MWh)</t>
  </si>
  <si>
    <t>Wind off-shore</t>
  </si>
  <si>
    <t>Expected lifetime of system (years)</t>
  </si>
  <si>
    <t>System costs at 10% penetration rate (€/MWh)</t>
  </si>
  <si>
    <t>System costs at 30% penetration rate (€/MWh)</t>
  </si>
  <si>
    <t>Penetration rate of source</t>
  </si>
  <si>
    <t>Penetration rate</t>
  </si>
  <si>
    <t>Maintenance and operation cost, variable (€/full load hour)</t>
  </si>
  <si>
    <t>CO2 emissions for general electricity (ton CO2/MWh)</t>
  </si>
  <si>
    <t>CO2 tax during construction (€)</t>
  </si>
  <si>
    <t>Sum of discounted costs excluding system costs and CO2 tax in year t (€)</t>
  </si>
  <si>
    <t>Sum of discounted costs excluding system costs and including CO2 tax in year t (€)</t>
  </si>
  <si>
    <t>Sum of discounted costs including system costs and excluding CO2 tax in year t (€)</t>
  </si>
  <si>
    <t>Sum of discounted costs including system costs and including CO2 tax in year t (€)</t>
  </si>
  <si>
    <t>Sum of discounted electrical energy produced  in year t (MWh)</t>
  </si>
  <si>
    <t xml:space="preserve">LCOE with systems cost and flexibility (work in progress) </t>
  </si>
  <si>
    <t xml:space="preserve">LCOE with systems cost, flexibility and CO2 tax (work in progress) </t>
  </si>
  <si>
    <t>WACC</t>
  </si>
  <si>
    <t>Construction cost (€)</t>
  </si>
  <si>
    <t>Construction</t>
  </si>
  <si>
    <t>Operation</t>
  </si>
  <si>
    <t>Instalment (€)</t>
  </si>
  <si>
    <t>Year t, (operation)</t>
  </si>
  <si>
    <t>Decommissioning cost as % of capital cost (nuclear)</t>
  </si>
  <si>
    <t>Discount rate</t>
  </si>
  <si>
    <t>Maintenance and operation cost, variable (€/MWh)</t>
  </si>
  <si>
    <t>Financing cost (€/MW)</t>
  </si>
  <si>
    <t>LS net</t>
  </si>
  <si>
    <t>LS MS transformator</t>
  </si>
  <si>
    <t>MS net</t>
  </si>
  <si>
    <t>MS HS transformator</t>
  </si>
  <si>
    <t>HS net</t>
  </si>
  <si>
    <t>Interconnectienet</t>
  </si>
  <si>
    <t>Wind op zee net</t>
  </si>
  <si>
    <t>Totaal</t>
  </si>
  <si>
    <t>Kosten, standaard(mlrd €)</t>
  </si>
  <si>
    <t>Kosten, zonder zonne-energie (mlr €)</t>
  </si>
  <si>
    <t>Kosten, zonder win op land (mlrd €)</t>
  </si>
  <si>
    <t>Kosten, zonder wind op zee (mlrd €)</t>
  </si>
  <si>
    <t>Kosten, nucleaire (mlrd €)</t>
  </si>
  <si>
    <t>Learning effect nuclear as % of 2019 costs</t>
  </si>
  <si>
    <t>Financing cost (€)</t>
  </si>
  <si>
    <t>O&amp;M fixed in year t (€)</t>
  </si>
  <si>
    <t>O&amp;M variable in year t (€)</t>
  </si>
  <si>
    <t>Maintenance and operation cost, fixed (€/MWe)</t>
  </si>
  <si>
    <t>Fuel expenditure in year t (€)</t>
  </si>
  <si>
    <t>System costs (€)</t>
  </si>
  <si>
    <t>Cost of waste processing and storage (€)</t>
  </si>
  <si>
    <t>Decommissioning (€)</t>
  </si>
  <si>
    <t>Decommissioning (€/Mwe/y)</t>
  </si>
  <si>
    <t>0.45 2020</t>
  </si>
  <si>
    <t>0.0 2050</t>
  </si>
  <si>
    <t>25 2020</t>
  </si>
  <si>
    <t>100 2050</t>
  </si>
  <si>
    <t>Profile costs (€/MWh)</t>
  </si>
  <si>
    <t>Balancing costs (€/MWh)</t>
  </si>
  <si>
    <t>Grid costs (€/MWh)</t>
  </si>
  <si>
    <t>Connection costs (€/MWh)</t>
  </si>
  <si>
    <t>Production of the electricity sector 2030 (MWh)</t>
  </si>
  <si>
    <t>CO2 emissions from the electricity sector 2030 (Mton CO2)</t>
  </si>
  <si>
    <t>CO2 tax cost for electricity during construction (€)</t>
  </si>
  <si>
    <t>Lifecycle CO2 emission cost (€)</t>
  </si>
  <si>
    <t>LC CO2 emissions (ton CO2 eq/MWh)</t>
  </si>
  <si>
    <t>Solar, lifetime 25</t>
  </si>
  <si>
    <t>Solar, lifetime 40</t>
  </si>
  <si>
    <t>Cost reduction conversion</t>
  </si>
  <si>
    <t>Cost reduction enrichment</t>
  </si>
  <si>
    <t>Cost reduction fuel fabrication</t>
  </si>
  <si>
    <t>Efficiency increase the amount of uranium required</t>
  </si>
  <si>
    <t>Efficiency increase in the amount needed for conversion</t>
  </si>
  <si>
    <t>Efficiency increase in the amount of SWUs (enrichment)</t>
  </si>
  <si>
    <r>
      <t>Raw uranium price (</t>
    </r>
    <r>
      <rPr>
        <strike/>
        <sz val="12"/>
        <color theme="1"/>
        <rFont val="Calibri (Body)"/>
      </rPr>
      <t>$</t>
    </r>
    <r>
      <rPr>
        <sz val="12"/>
        <color theme="1"/>
        <rFont val="Calibri"/>
        <family val="2"/>
        <scheme val="minor"/>
      </rPr>
      <t>/kg)</t>
    </r>
  </si>
  <si>
    <t>Nuclear EPR, must-run</t>
  </si>
  <si>
    <t>Nuclear EPR, merit order</t>
  </si>
  <si>
    <t>Formula</t>
  </si>
  <si>
    <t>Check</t>
  </si>
  <si>
    <t>Exchange rate $-&gt;€</t>
  </si>
  <si>
    <t>Sum of discounted costs in year t (€)</t>
  </si>
  <si>
    <t>Assumptions</t>
  </si>
  <si>
    <t>Electrolyzer</t>
  </si>
  <si>
    <t>Electrolyzers</t>
  </si>
  <si>
    <t>Electricity cost (€)</t>
  </si>
  <si>
    <t>Electricity cost (€/MWh)</t>
  </si>
  <si>
    <t>Technical lifetime stack (years)</t>
  </si>
  <si>
    <t>Thermodynamic minimum (kWh/kg H2)</t>
  </si>
  <si>
    <t>Equipment cost (€/MWe)</t>
  </si>
  <si>
    <t>Installation cost (€/MWe)</t>
  </si>
  <si>
    <t>Total installed cost (€/MWe)</t>
  </si>
  <si>
    <t>Electricity price</t>
  </si>
  <si>
    <t>LCOH (€/ton H2)</t>
  </si>
  <si>
    <t>LHV (MWh/ton H2)</t>
  </si>
  <si>
    <t>Efficiency (Lower Heating Value)</t>
  </si>
  <si>
    <t>HHV (MWh/ton H2)</t>
  </si>
  <si>
    <t>Sum of discounted hydrogen produced in year t (MWh)</t>
  </si>
  <si>
    <t>LCOH (€/MWh LHV H2)</t>
  </si>
  <si>
    <t>Replacement cost (€)</t>
  </si>
  <si>
    <t>Electrolyzer 8000 FLH</t>
  </si>
  <si>
    <t>Electricity source</t>
  </si>
  <si>
    <t>Hydrogen produced in year t (MWh LHV)</t>
  </si>
  <si>
    <t>Storage in salt caverns</t>
  </si>
  <si>
    <t>Investment cost (€)</t>
  </si>
  <si>
    <t>Capacity salt cavern (m3)</t>
  </si>
  <si>
    <t>Energy requirements (MWh/ton H2)</t>
  </si>
  <si>
    <t>Yearly H2 stored (tons)</t>
  </si>
  <si>
    <t>Capacity salt cavern (ton H2)</t>
  </si>
  <si>
    <t>Salt cavern H2 storage</t>
  </si>
  <si>
    <t>Hydrogen stored in year t (MWh LHV)</t>
  </si>
  <si>
    <t>Maintenance and operation cost, fixed (€/year)</t>
  </si>
  <si>
    <t>Sum of discounted hydrogen stored in year t (MWh)</t>
  </si>
  <si>
    <t>Electrolyzer, solar 40</t>
  </si>
  <si>
    <t>Electrolyzer, solar 25</t>
  </si>
  <si>
    <t>Electrolyzer, wind on-shore</t>
  </si>
  <si>
    <t>Electrolyzer, wind off-shore</t>
  </si>
  <si>
    <t>LCOS (€/ton H2 stored)</t>
  </si>
  <si>
    <t>Total installed cost (€)</t>
  </si>
  <si>
    <t>Share of the produced hydrogen stored</t>
  </si>
  <si>
    <t>H2 density (kg/m3) at 10 Mpa , temperature somewhere between 0 and 25</t>
  </si>
  <si>
    <t>LCOH/S calculation</t>
  </si>
  <si>
    <t>Fuel cost (€/MWh electric)</t>
  </si>
  <si>
    <t>Decommissioning (€/MWe/year)</t>
  </si>
  <si>
    <t>Year t</t>
  </si>
  <si>
    <t>Replacement cost stack (€/MW)</t>
  </si>
  <si>
    <t>Yearly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</si>
</sst>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_(* #,##0_);_(* \(#,##0\);_(* &quot;-&quot;_);_(@_)"/>
    <numFmt numFmtId="166" formatCode="_(* #,##0.00_);_(* \(#,##0.00\);_(* &quot;-&quot;??_);_(@_)"/>
    <numFmt numFmtId="167" formatCode="#,##0\ [$€-1];[Red]\-#,##0\ [$€-1]"/>
    <numFmt numFmtId="168" formatCode="0.000"/>
    <numFmt numFmtId="169" formatCode="_(* #,##0.0_);_(* \(#,##0.0\);_(* &quot;-&quot;_);_(@_)"/>
    <numFmt numFmtId="170" formatCode="_(* #,##0.00_);_(* \(#,##0.00\);_(* &quot;-&quot;_);_(@_)"/>
    <numFmt numFmtId="171" formatCode="_(* #,##0.000_);_(* \(#,##0.000\);_(* &quot;-&quot;_);_(@_)"/>
    <numFmt numFmtId="172" formatCode="0.0"/>
    <numFmt numFmtId="173" formatCode="_(* #,##0_);_(* \(#,##0\);_(* &quot;-&quot;??_);_(@_)"/>
    <numFmt numFmtId="174" formatCode="_(* #,##0.0_);_(* \(#,##0.0\);_(* &quot;-&quot;?_);_(@_)"/>
    <numFmt numFmtId="175" formatCode="_(* #,##0.00000_);_(* \(#,##0.00000\);_(* &quot;-&quot;_);_(@_)"/>
    <numFmt numFmtId="176" formatCode="_-* #,##0_-;_-* #,##0\-;_-* &quot;-&quot;??_-;_-@_-"/>
  </numFmts>
  <fonts count="13">
    <font>
      <sz val="12"/>
      <color theme="1"/>
      <name val="Calibri"/>
      <family val="2"/>
      <scheme val="minor"/>
    </font>
    <font>
      <b/>
      <sz val="12"/>
      <color theme="1"/>
      <name val="Calibri"/>
      <family val="2"/>
      <scheme val="minor"/>
    </font>
    <font>
      <i/>
      <sz val="12"/>
      <color theme="1"/>
      <name val="Calibri"/>
      <family val="2"/>
      <scheme val="minor"/>
    </font>
    <font>
      <sz val="12"/>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u/>
      <sz val="12"/>
      <color theme="10"/>
      <name val="Calibri"/>
      <family val="2"/>
      <scheme val="minor"/>
    </font>
    <font>
      <b/>
      <sz val="12"/>
      <color rgb="FFFF0000"/>
      <name val="Calibri"/>
      <family val="2"/>
      <scheme val="minor"/>
    </font>
    <font>
      <strike/>
      <sz val="12"/>
      <color theme="1"/>
      <name val="Calibri (Body)"/>
    </font>
    <font>
      <b/>
      <sz val="12"/>
      <color theme="0"/>
      <name val="Calibri"/>
      <family val="2"/>
      <scheme val="minor"/>
    </font>
    <font>
      <sz val="12"/>
      <color theme="0"/>
      <name val="Calibri"/>
      <family val="2"/>
      <scheme val="minor"/>
    </font>
    <font>
      <u/>
      <sz val="12"/>
      <color theme="11"/>
      <name val="Calibri"/>
      <family val="2"/>
      <scheme val="minor"/>
    </font>
  </fonts>
  <fills count="8">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4"/>
        <bgColor indexed="64"/>
      </patternFill>
    </fill>
  </fills>
  <borders count="4">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9">
    <xf numFmtId="0" fontId="0" fillId="0" borderId="0"/>
    <xf numFmtId="9" fontId="4" fillId="0" borderId="0" applyFon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18">
    <xf numFmtId="0" fontId="0" fillId="0" borderId="0" xfId="0"/>
    <xf numFmtId="0" fontId="1" fillId="0" borderId="0" xfId="0" applyFont="1"/>
    <xf numFmtId="0" fontId="0" fillId="0" borderId="0" xfId="0" applyBorder="1"/>
    <xf numFmtId="0" fontId="1" fillId="0" borderId="2" xfId="0" applyFont="1" applyBorder="1"/>
    <xf numFmtId="0" fontId="0" fillId="0" borderId="2" xfId="0" applyBorder="1"/>
    <xf numFmtId="0" fontId="0" fillId="0" borderId="0" xfId="0" applyFill="1" applyBorder="1"/>
    <xf numFmtId="1" fontId="0" fillId="0" borderId="0" xfId="0" applyNumberFormat="1"/>
    <xf numFmtId="0" fontId="1" fillId="0" borderId="0" xfId="0" applyFont="1" applyBorder="1" applyAlignment="1">
      <alignment horizontal="center"/>
    </xf>
    <xf numFmtId="0" fontId="0" fillId="0" borderId="2" xfId="0" applyFont="1" applyBorder="1"/>
    <xf numFmtId="0" fontId="0" fillId="2" borderId="0" xfId="0" applyFill="1" applyBorder="1"/>
    <xf numFmtId="0" fontId="0" fillId="2" borderId="0" xfId="0" applyFill="1"/>
    <xf numFmtId="0" fontId="0" fillId="2" borderId="2" xfId="0" applyFill="1" applyBorder="1"/>
    <xf numFmtId="0" fontId="0" fillId="3" borderId="0" xfId="0" applyFill="1"/>
    <xf numFmtId="0" fontId="0" fillId="3" borderId="2" xfId="0" applyFill="1" applyBorder="1"/>
    <xf numFmtId="0" fontId="0" fillId="4" borderId="0" xfId="0" applyFill="1"/>
    <xf numFmtId="0" fontId="0" fillId="4" borderId="2" xfId="0" applyFill="1" applyBorder="1"/>
    <xf numFmtId="0" fontId="0" fillId="4" borderId="0" xfId="0" applyFill="1" applyBorder="1"/>
    <xf numFmtId="0" fontId="0" fillId="0" borderId="0" xfId="0" applyFill="1"/>
    <xf numFmtId="0" fontId="3" fillId="4" borderId="0" xfId="0" applyFont="1" applyFill="1"/>
    <xf numFmtId="0" fontId="3" fillId="4" borderId="2" xfId="0" applyFont="1" applyFill="1" applyBorder="1"/>
    <xf numFmtId="0" fontId="3" fillId="3" borderId="0" xfId="0" applyFont="1" applyFill="1"/>
    <xf numFmtId="0" fontId="3" fillId="3" borderId="2" xfId="0" applyFont="1" applyFill="1" applyBorder="1"/>
    <xf numFmtId="9" fontId="0" fillId="2" borderId="0" xfId="0" applyNumberFormat="1" applyFill="1" applyBorder="1"/>
    <xf numFmtId="0" fontId="3" fillId="2" borderId="0" xfId="0" applyFont="1" applyFill="1" applyBorder="1"/>
    <xf numFmtId="0" fontId="3" fillId="2" borderId="2" xfId="0" applyFont="1" applyFill="1" applyBorder="1"/>
    <xf numFmtId="0" fontId="3" fillId="4" borderId="0" xfId="0" applyFont="1" applyFill="1" applyBorder="1"/>
    <xf numFmtId="0" fontId="3" fillId="0" borderId="0" xfId="0" applyFont="1" applyFill="1" applyBorder="1"/>
    <xf numFmtId="0" fontId="3" fillId="0" borderId="2" xfId="0" applyFont="1" applyFill="1" applyBorder="1"/>
    <xf numFmtId="0" fontId="3" fillId="0" borderId="0" xfId="0" applyFont="1" applyFill="1"/>
    <xf numFmtId="0" fontId="0" fillId="0" borderId="2" xfId="0" applyFill="1" applyBorder="1"/>
    <xf numFmtId="0" fontId="0" fillId="3" borderId="0" xfId="0" applyFill="1" applyBorder="1"/>
    <xf numFmtId="9" fontId="0" fillId="0" borderId="0" xfId="0" applyNumberFormat="1"/>
    <xf numFmtId="167" fontId="0" fillId="0" borderId="0" xfId="0" applyNumberFormat="1"/>
    <xf numFmtId="9" fontId="3" fillId="0" borderId="0" xfId="0" applyNumberFormat="1" applyFont="1" applyFill="1" applyBorder="1"/>
    <xf numFmtId="0" fontId="1" fillId="0" borderId="0" xfId="0" applyFont="1" applyFill="1" applyBorder="1"/>
    <xf numFmtId="0" fontId="1" fillId="5" borderId="0" xfId="0" applyFont="1" applyFill="1" applyBorder="1"/>
    <xf numFmtId="0" fontId="0" fillId="5" borderId="0" xfId="0" applyFill="1"/>
    <xf numFmtId="0" fontId="0" fillId="5" borderId="0" xfId="0" applyFill="1" applyBorder="1"/>
    <xf numFmtId="9" fontId="0" fillId="5" borderId="0" xfId="1" applyFont="1" applyFill="1"/>
    <xf numFmtId="0" fontId="1" fillId="5" borderId="0" xfId="0" applyFont="1" applyFill="1"/>
    <xf numFmtId="0" fontId="5" fillId="5" borderId="0" xfId="0" applyFont="1" applyFill="1"/>
    <xf numFmtId="0" fontId="6" fillId="5" borderId="0" xfId="0" applyFont="1" applyFill="1"/>
    <xf numFmtId="0" fontId="0" fillId="5" borderId="0" xfId="1" applyNumberFormat="1" applyFont="1" applyFill="1" applyBorder="1"/>
    <xf numFmtId="0" fontId="6" fillId="5" borderId="0" xfId="0" applyFont="1" applyFill="1" applyBorder="1"/>
    <xf numFmtId="0" fontId="5" fillId="5" borderId="0" xfId="0" applyFont="1" applyFill="1" applyBorder="1"/>
    <xf numFmtId="9" fontId="0" fillId="2" borderId="0" xfId="0" applyNumberFormat="1" applyFill="1"/>
    <xf numFmtId="0" fontId="3" fillId="6" borderId="0" xfId="0" applyFont="1" applyFill="1"/>
    <xf numFmtId="0" fontId="3" fillId="6" borderId="0" xfId="0" applyFont="1" applyFill="1" applyBorder="1"/>
    <xf numFmtId="0" fontId="3" fillId="6" borderId="2" xfId="0" applyFont="1" applyFill="1" applyBorder="1"/>
    <xf numFmtId="167" fontId="0" fillId="2" borderId="0" xfId="0" applyNumberFormat="1" applyFill="1"/>
    <xf numFmtId="0" fontId="1" fillId="0" borderId="0" xfId="0" applyFont="1" applyBorder="1" applyAlignment="1"/>
    <xf numFmtId="0" fontId="1" fillId="0" borderId="2" xfId="0" applyFont="1" applyFill="1" applyBorder="1"/>
    <xf numFmtId="9" fontId="0" fillId="0" borderId="0" xfId="0" applyNumberFormat="1" applyFill="1" applyBorder="1"/>
    <xf numFmtId="9" fontId="0" fillId="0" borderId="0" xfId="0" applyNumberFormat="1" applyFill="1"/>
    <xf numFmtId="0" fontId="0" fillId="0" borderId="2" xfId="0" applyFont="1" applyFill="1" applyBorder="1"/>
    <xf numFmtId="2" fontId="0" fillId="0" borderId="0" xfId="0" applyNumberFormat="1"/>
    <xf numFmtId="0" fontId="0" fillId="0" borderId="0" xfId="0" applyFont="1" applyFill="1" applyBorder="1"/>
    <xf numFmtId="9" fontId="0" fillId="5" borderId="0" xfId="0" applyNumberFormat="1" applyFill="1"/>
    <xf numFmtId="165" fontId="0" fillId="0" borderId="0" xfId="0" applyNumberFormat="1"/>
    <xf numFmtId="165" fontId="1" fillId="0" borderId="0" xfId="0" applyNumberFormat="1" applyFont="1"/>
    <xf numFmtId="165" fontId="0" fillId="0" borderId="0" xfId="0" applyNumberFormat="1" applyFont="1"/>
    <xf numFmtId="165" fontId="0" fillId="0" borderId="0" xfId="0" applyNumberFormat="1" applyBorder="1"/>
    <xf numFmtId="165" fontId="6" fillId="0" borderId="0" xfId="0" applyNumberFormat="1" applyFont="1"/>
    <xf numFmtId="170" fontId="0" fillId="0" borderId="0" xfId="0" applyNumberFormat="1"/>
    <xf numFmtId="171" fontId="0" fillId="0" borderId="0" xfId="0" applyNumberFormat="1"/>
    <xf numFmtId="164" fontId="0" fillId="0" borderId="0" xfId="0" applyNumberFormat="1"/>
    <xf numFmtId="1" fontId="0" fillId="0" borderId="0" xfId="0" applyNumberFormat="1" applyFill="1"/>
    <xf numFmtId="0" fontId="5" fillId="0" borderId="0" xfId="0" applyFont="1" applyFill="1" applyBorder="1"/>
    <xf numFmtId="0" fontId="6" fillId="0" borderId="0" xfId="0" applyFont="1" applyFill="1" applyBorder="1"/>
    <xf numFmtId="2" fontId="0" fillId="0" borderId="0" xfId="0" applyNumberFormat="1" applyFill="1"/>
    <xf numFmtId="0" fontId="0" fillId="0" borderId="0" xfId="0" applyNumberFormat="1"/>
    <xf numFmtId="1" fontId="0" fillId="0" borderId="0" xfId="0" applyNumberFormat="1" applyFill="1" applyBorder="1"/>
    <xf numFmtId="0" fontId="1" fillId="0" borderId="0" xfId="0" applyFont="1" applyFill="1"/>
    <xf numFmtId="0" fontId="8" fillId="0" borderId="0" xfId="0" applyFont="1" applyFill="1"/>
    <xf numFmtId="0" fontId="6" fillId="0" borderId="0" xfId="0" applyFont="1" applyFill="1"/>
    <xf numFmtId="172" fontId="0" fillId="0" borderId="0" xfId="0" applyNumberFormat="1" applyFill="1"/>
    <xf numFmtId="172" fontId="0" fillId="0" borderId="0" xfId="0" applyNumberFormat="1" applyFill="1" applyBorder="1"/>
    <xf numFmtId="168" fontId="0" fillId="0" borderId="0" xfId="0" applyNumberFormat="1" applyFill="1"/>
    <xf numFmtId="0" fontId="7" fillId="0" borderId="0" xfId="2" applyFill="1"/>
    <xf numFmtId="165" fontId="0" fillId="0" borderId="0" xfId="0" applyNumberFormat="1" applyFill="1"/>
    <xf numFmtId="165" fontId="3" fillId="0" borderId="0" xfId="0" applyNumberFormat="1" applyFont="1" applyFill="1"/>
    <xf numFmtId="0" fontId="0" fillId="5" borderId="0" xfId="1" applyNumberFormat="1" applyFont="1" applyFill="1"/>
    <xf numFmtId="166" fontId="0" fillId="0" borderId="0" xfId="0" applyNumberFormat="1"/>
    <xf numFmtId="173" fontId="0" fillId="0" borderId="0" xfId="0" applyNumberFormat="1"/>
    <xf numFmtId="174" fontId="0" fillId="0" borderId="0" xfId="0" applyNumberFormat="1"/>
    <xf numFmtId="165" fontId="11" fillId="7" borderId="0" xfId="0" applyNumberFormat="1" applyFont="1" applyFill="1"/>
    <xf numFmtId="165" fontId="10" fillId="7" borderId="0" xfId="0" applyNumberFormat="1" applyFont="1" applyFill="1"/>
    <xf numFmtId="0" fontId="10" fillId="7" borderId="0" xfId="0" applyFont="1" applyFill="1"/>
    <xf numFmtId="165" fontId="10" fillId="7" borderId="0" xfId="0" applyNumberFormat="1" applyFont="1" applyFill="1" applyBorder="1"/>
    <xf numFmtId="169" fontId="11" fillId="7" borderId="0" xfId="0" applyNumberFormat="1" applyFont="1" applyFill="1"/>
    <xf numFmtId="171" fontId="11" fillId="7" borderId="0" xfId="0" applyNumberFormat="1" applyFont="1" applyFill="1"/>
    <xf numFmtId="165" fontId="11" fillId="7" borderId="0" xfId="0" applyNumberFormat="1" applyFont="1" applyFill="1" applyBorder="1"/>
    <xf numFmtId="0" fontId="11" fillId="7" borderId="0" xfId="0" applyFont="1" applyFill="1"/>
    <xf numFmtId="0" fontId="11" fillId="7" borderId="0" xfId="0" applyFont="1" applyFill="1" applyBorder="1"/>
    <xf numFmtId="173" fontId="11" fillId="7" borderId="0" xfId="0" applyNumberFormat="1" applyFont="1" applyFill="1"/>
    <xf numFmtId="166" fontId="11" fillId="7" borderId="0" xfId="0" applyNumberFormat="1" applyFont="1" applyFill="1"/>
    <xf numFmtId="166" fontId="0" fillId="5" borderId="0" xfId="0" applyNumberFormat="1" applyFont="1" applyFill="1"/>
    <xf numFmtId="165" fontId="1" fillId="5" borderId="0" xfId="0" applyNumberFormat="1" applyFont="1" applyFill="1"/>
    <xf numFmtId="2" fontId="1" fillId="5" borderId="0" xfId="0" applyNumberFormat="1" applyFont="1" applyFill="1"/>
    <xf numFmtId="1" fontId="1" fillId="5" borderId="0" xfId="0" applyNumberFormat="1" applyFont="1" applyFill="1"/>
    <xf numFmtId="0" fontId="0" fillId="5" borderId="0" xfId="0" applyFont="1" applyFill="1"/>
    <xf numFmtId="0" fontId="0" fillId="5" borderId="3" xfId="0" applyFill="1" applyBorder="1"/>
    <xf numFmtId="1" fontId="0" fillId="5" borderId="0" xfId="0" applyNumberFormat="1" applyFill="1"/>
    <xf numFmtId="0" fontId="2" fillId="5" borderId="0" xfId="0" applyFont="1" applyFill="1"/>
    <xf numFmtId="165" fontId="0" fillId="5" borderId="0" xfId="1" applyNumberFormat="1" applyFont="1" applyFill="1"/>
    <xf numFmtId="165" fontId="0" fillId="5" borderId="0" xfId="0" applyNumberFormat="1" applyFill="1"/>
    <xf numFmtId="172" fontId="0" fillId="5" borderId="0" xfId="0" applyNumberFormat="1" applyFill="1"/>
    <xf numFmtId="0" fontId="0" fillId="5" borderId="0" xfId="0" applyFont="1" applyFill="1" applyBorder="1"/>
    <xf numFmtId="0" fontId="2" fillId="5" borderId="0" xfId="0" applyFont="1" applyFill="1" applyBorder="1"/>
    <xf numFmtId="170" fontId="0" fillId="5" borderId="0" xfId="0" applyNumberFormat="1" applyFill="1"/>
    <xf numFmtId="173" fontId="0" fillId="5" borderId="0" xfId="0" applyNumberFormat="1" applyFill="1"/>
    <xf numFmtId="165" fontId="0" fillId="5" borderId="0" xfId="0" applyNumberFormat="1" applyFill="1" applyBorder="1"/>
    <xf numFmtId="173" fontId="0" fillId="0" borderId="0" xfId="0" applyNumberFormat="1" applyFill="1"/>
    <xf numFmtId="175" fontId="0" fillId="0" borderId="0" xfId="0" applyNumberFormat="1"/>
    <xf numFmtId="176" fontId="11" fillId="7" borderId="0" xfId="0" applyNumberFormat="1" applyFont="1" applyFill="1"/>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cellXfs>
  <cellStyles count="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Tuuli Tiihonen" id="{7FAB922A-8A04-7342-A538-CE9A3B21C8F5}" userId="S::tuuli.tiihonen@kalavasta.onmicrosoft.com::cf6aba8e-55a5-4c74-9b80-265a40e2292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0-01-09T14:32:40.16" personId="{7FAB922A-8A04-7342-A538-CE9A3B21C8F5}" id="{B705AAA9-B49C-F848-BF80-5F9757AD65FF}">
    <text xml:space="preserve">Assume that financing is acquired on the first day of the year and the interest is payed on the last day of the year. </text>
  </threadedComment>
  <threadedComment ref="I15" dT="2020-01-09T14:34:54.81" personId="{7FAB922A-8A04-7342-A538-CE9A3B21C8F5}" id="{44B7AF2A-1C69-534D-B8A1-FCF23E40369F}">
    <text>Assume that the instalment is done on the last day of the year in order to simulate that the plant needs to generate revenue to pay off the instalment. Interest in t=1 is thus for the total construction cost, and interest is t=2 is the total construction cost minus the instalment payed back in t=1.</text>
  </threadedComment>
  <threadedComment ref="A23" dT="2020-01-09T08:33:54.86" personId="{7FAB922A-8A04-7342-A538-CE9A3B21C8F5}" id="{E8BC2F8A-93FF-8D48-8905-7284D6688191}">
    <text>Not discounted</text>
  </threadedComment>
  <threadedComment ref="A48" dT="2020-01-09T08:33:54.86" personId="{7FAB922A-8A04-7342-A538-CE9A3B21C8F5}" id="{9AAC88F2-5E5A-9D4D-9062-A8BB78C7584F}">
    <text>Not discounted</text>
  </threadedComment>
  <threadedComment ref="A73" dT="2020-01-09T08:33:54.86" personId="{7FAB922A-8A04-7342-A538-CE9A3B21C8F5}" id="{0765A620-9031-E340-9E4F-240BF0BA6AC3}">
    <text>Not discounted</text>
  </threadedComment>
  <threadedComment ref="A98" dT="2020-01-09T08:33:54.86" personId="{7FAB922A-8A04-7342-A538-CE9A3B21C8F5}" id="{2D6CAE15-D174-8849-B177-731FF43B21CF}">
    <text>Not discounted</text>
  </threadedComment>
  <threadedComment ref="A123" dT="2020-01-09T08:33:54.86" personId="{7FAB922A-8A04-7342-A538-CE9A3B21C8F5}" id="{3DA00962-640E-8F4F-A576-3DA756C2CD4E}">
    <text>Not discounted</text>
  </threadedComment>
</ThreadedComments>
</file>

<file path=xl/threadedComments/threadedComment2.xml><?xml version="1.0" encoding="utf-8"?>
<ThreadedComments xmlns="http://schemas.microsoft.com/office/spreadsheetml/2018/threadedcomments" xmlns:x="http://schemas.openxmlformats.org/spreadsheetml/2006/main">
  <threadedComment ref="B27" dT="2020-01-14T14:55:28.40" personId="{7FAB922A-8A04-7342-A538-CE9A3B21C8F5}" id="{8029BD41-FDB9-F14A-9007-5262390AD95B}">
    <text>Average construction cost of Flamanville 3 and Olkiluoto 3.</text>
  </threadedComment>
</ThreadedComments>
</file>

<file path=xl/threadedComments/threadedComment3.xml><?xml version="1.0" encoding="utf-8"?>
<ThreadedComments xmlns="http://schemas.microsoft.com/office/spreadsheetml/2018/threadedcomments" xmlns:x="http://schemas.openxmlformats.org/spreadsheetml/2006/main">
  <threadedComment ref="H36" dT="2020-01-22T15:08:48.39" personId="{7FAB922A-8A04-7342-A538-CE9A3B21C8F5}" id="{08507280-85AB-154C-92BB-979B500003BC}">
    <text>Assumption</text>
  </threadedComment>
  <threadedComment ref="N38" dT="2020-01-09T08:33:54.86" personId="{7FAB922A-8A04-7342-A538-CE9A3B21C8F5}" id="{AA2CF699-36AF-2740-8727-DB8ED73B8B88}">
    <text>Not discounted</text>
  </threadedComment>
</ThreadedComments>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 Id="rId4" Type="http://schemas.microsoft.com/office/2017/10/relationships/threadedComment" Target="../threadedComments/threadedComment3.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58"/>
  <sheetViews>
    <sheetView zoomScale="134" workbookViewId="0">
      <pane xSplit="1" topLeftCell="B1" activePane="topRight" state="frozen"/>
      <selection pane="topRight"/>
    </sheetView>
  </sheetViews>
  <sheetFormatPr baseColWidth="10" defaultRowHeight="16"/>
  <cols>
    <col min="1" max="1" width="70.83203125" style="58" bestFit="1" customWidth="1"/>
    <col min="2" max="3" width="15.33203125" style="58" bestFit="1" customWidth="1"/>
    <col min="4" max="8" width="16.5" style="58" bestFit="1" customWidth="1"/>
    <col min="9" max="10" width="17.6640625" style="58" bestFit="1" customWidth="1"/>
    <col min="11" max="61" width="14.5" style="58" bestFit="1" customWidth="1"/>
    <col min="62" max="68" width="13.5" style="58" bestFit="1" customWidth="1"/>
    <col min="69" max="16384" width="10.83203125" style="58"/>
  </cols>
  <sheetData>
    <row r="1" spans="1:75" s="85" customFormat="1">
      <c r="B1" s="86" t="s">
        <v>221</v>
      </c>
      <c r="C1" s="86" t="s">
        <v>222</v>
      </c>
      <c r="D1" s="87" t="s">
        <v>213</v>
      </c>
      <c r="E1" s="87" t="s">
        <v>212</v>
      </c>
      <c r="F1" s="86" t="s">
        <v>3</v>
      </c>
      <c r="G1" s="88" t="s">
        <v>4</v>
      </c>
    </row>
    <row r="2" spans="1:75" s="85" customFormat="1">
      <c r="A2" s="86" t="s">
        <v>146</v>
      </c>
      <c r="B2" s="85">
        <f>SUM(B30:BP30)/SUM(B33:BP33)</f>
        <v>91.925978051833368</v>
      </c>
      <c r="C2" s="85">
        <f>SUM(B55:BP55)/SUM(B58:BP58)</f>
        <v>199.95165079203099</v>
      </c>
      <c r="D2" s="85">
        <f>SUM(B80:BP80)/SUM(B83:BP83)</f>
        <v>22.306832945619757</v>
      </c>
      <c r="E2" s="85">
        <f>SUM(B105:BI105)/SUM(B108:BI108)</f>
        <v>26.849441361174247</v>
      </c>
      <c r="F2" s="85">
        <f>SUM(B130:BJ130)/SUM(B133:BJ133)</f>
        <v>22.756811281393375</v>
      </c>
      <c r="G2" s="85">
        <f>SUM(B155:BF155)/SUM(B158:BF158)</f>
        <v>23.229583151853834</v>
      </c>
    </row>
    <row r="3" spans="1:75" s="85" customFormat="1" hidden="1">
      <c r="A3" s="86" t="s">
        <v>91</v>
      </c>
      <c r="B3" s="85">
        <f>SUM(B29:BP29)/SUM(B33:BP33)</f>
        <v>95.318044958961494</v>
      </c>
      <c r="C3" s="85">
        <f>SUM(B54:BP54)/SUM(B58:BP58)</f>
        <v>203.3437176991591</v>
      </c>
      <c r="D3" s="85">
        <f>SUM(B79:BP79)/SUM(B83:BP83)</f>
        <v>23.520128728756553</v>
      </c>
      <c r="E3" s="85">
        <f>SUM(B104:BI104)/SUM(B108:BI108)</f>
        <v>28.367358233537484</v>
      </c>
      <c r="F3" s="85">
        <f>SUM(B129:BJ129)/SUM(B133:BJ133)</f>
        <v>23.790283683122489</v>
      </c>
      <c r="G3" s="85">
        <f>SUM(B154:BF154)/SUM(B158:BF158)</f>
        <v>24.263944856762478</v>
      </c>
    </row>
    <row r="4" spans="1:75" s="85" customFormat="1" hidden="1">
      <c r="A4" s="86" t="s">
        <v>92</v>
      </c>
      <c r="B4" s="85">
        <f>SUM(B32:BP32)/SUM(B33:BP33)</f>
        <v>91.925978051833368</v>
      </c>
      <c r="C4" s="85">
        <f>SUM(B57:BP57)/SUM(B58:BP58)</f>
        <v>199.95165079203099</v>
      </c>
      <c r="D4" s="85">
        <f>SUM(B82:BP82)/SUM(B83:BP83)</f>
        <v>22.306832945619757</v>
      </c>
      <c r="E4" s="85">
        <f>SUM(B107:BI107)/SUM(B108:BI108)</f>
        <v>26.849441361174247</v>
      </c>
      <c r="F4" s="85">
        <f>SUM(B132:BJ132)/SUM(B133:BJ133)</f>
        <v>22.756811281393375</v>
      </c>
      <c r="G4" s="85">
        <f>SUM(B157:BF157)/SUM(B158:BF158)</f>
        <v>23.229583151853834</v>
      </c>
    </row>
    <row r="5" spans="1:75" s="85" customFormat="1" hidden="1">
      <c r="A5" s="86" t="s">
        <v>147</v>
      </c>
      <c r="B5" s="85">
        <f>SUM(B31:BP31)/SUM(B33:BP33)</f>
        <v>95.318044958961494</v>
      </c>
      <c r="C5" s="85">
        <f>SUM(B56:BP56)/SUM(B58:BP58)</f>
        <v>203.3437176991591</v>
      </c>
      <c r="D5" s="85">
        <f>SUM(B81:BP81)/SUM(B83:BP83)</f>
        <v>23.520128728756553</v>
      </c>
      <c r="E5" s="85">
        <f>SUM(B106:BI106)/SUM(B108:BI108)</f>
        <v>28.367358233537484</v>
      </c>
      <c r="F5" s="85">
        <f>SUM(B131:BJ131)/SUM(B133:BJ133)</f>
        <v>23.790283683122489</v>
      </c>
      <c r="G5" s="85">
        <f>SUM(B156:BF156)/SUM(B158:BF158)</f>
        <v>24.263944856762478</v>
      </c>
      <c r="L5" s="89"/>
    </row>
    <row r="6" spans="1:75" s="85" customFormat="1" hidden="1">
      <c r="A6" s="86" t="s">
        <v>164</v>
      </c>
      <c r="I6" s="90"/>
      <c r="J6" s="85">
        <f>H6*I6</f>
        <v>0</v>
      </c>
    </row>
    <row r="7" spans="1:75" s="85" customFormat="1" hidden="1">
      <c r="A7" s="86" t="s">
        <v>165</v>
      </c>
    </row>
    <row r="8" spans="1:75" s="85" customFormat="1"/>
    <row r="10" spans="1:75">
      <c r="D10" s="113"/>
    </row>
    <row r="11" spans="1:75">
      <c r="B11" s="59" t="s">
        <v>221</v>
      </c>
    </row>
    <row r="12" spans="1:75">
      <c r="B12" s="58" t="s">
        <v>168</v>
      </c>
      <c r="I12" s="58" t="s">
        <v>169</v>
      </c>
    </row>
    <row r="13" spans="1:75">
      <c r="A13" s="58" t="s">
        <v>269</v>
      </c>
      <c r="B13" s="58">
        <v>-7</v>
      </c>
      <c r="C13" s="58">
        <v>-6</v>
      </c>
      <c r="D13" s="58">
        <v>-5</v>
      </c>
      <c r="E13" s="58">
        <v>-4</v>
      </c>
      <c r="F13" s="58">
        <v>-3</v>
      </c>
      <c r="G13" s="58">
        <v>-2</v>
      </c>
      <c r="H13" s="58">
        <v>-1</v>
      </c>
      <c r="I13" s="58">
        <v>1</v>
      </c>
      <c r="J13" s="58">
        <v>2</v>
      </c>
      <c r="K13" s="58">
        <v>3</v>
      </c>
      <c r="L13" s="58">
        <v>4</v>
      </c>
      <c r="M13" s="58">
        <v>5</v>
      </c>
      <c r="N13" s="58">
        <v>6</v>
      </c>
      <c r="O13" s="58">
        <v>7</v>
      </c>
      <c r="P13" s="58">
        <v>8</v>
      </c>
      <c r="Q13" s="58">
        <v>9</v>
      </c>
      <c r="R13" s="58">
        <v>10</v>
      </c>
      <c r="S13" s="58">
        <v>11</v>
      </c>
      <c r="T13" s="58">
        <v>12</v>
      </c>
      <c r="U13" s="58">
        <v>13</v>
      </c>
      <c r="V13" s="58">
        <v>14</v>
      </c>
      <c r="W13" s="58">
        <v>15</v>
      </c>
      <c r="X13" s="58">
        <v>16</v>
      </c>
      <c r="Y13" s="58">
        <v>17</v>
      </c>
      <c r="Z13" s="58">
        <v>18</v>
      </c>
      <c r="AA13" s="58">
        <v>19</v>
      </c>
      <c r="AB13" s="58">
        <v>20</v>
      </c>
      <c r="AC13" s="58">
        <v>21</v>
      </c>
      <c r="AD13" s="58">
        <v>22</v>
      </c>
      <c r="AE13" s="58">
        <v>23</v>
      </c>
      <c r="AF13" s="58">
        <v>24</v>
      </c>
      <c r="AG13" s="58">
        <v>25</v>
      </c>
      <c r="AH13" s="58">
        <v>26</v>
      </c>
      <c r="AI13" s="58">
        <v>27</v>
      </c>
      <c r="AJ13" s="58">
        <v>28</v>
      </c>
      <c r="AK13" s="58">
        <v>29</v>
      </c>
      <c r="AL13" s="58">
        <v>30</v>
      </c>
      <c r="AM13" s="58">
        <v>31</v>
      </c>
      <c r="AN13" s="58">
        <v>32</v>
      </c>
      <c r="AO13" s="58">
        <v>33</v>
      </c>
      <c r="AP13" s="58">
        <v>34</v>
      </c>
      <c r="AQ13" s="58">
        <v>35</v>
      </c>
      <c r="AR13" s="58">
        <v>36</v>
      </c>
      <c r="AS13" s="58">
        <v>37</v>
      </c>
      <c r="AT13" s="58">
        <v>38</v>
      </c>
      <c r="AU13" s="58">
        <v>39</v>
      </c>
      <c r="AV13" s="58">
        <v>40</v>
      </c>
      <c r="AW13" s="58">
        <v>41</v>
      </c>
      <c r="AX13" s="58">
        <v>42</v>
      </c>
      <c r="AY13" s="58">
        <v>43</v>
      </c>
      <c r="AZ13" s="58">
        <v>44</v>
      </c>
      <c r="BA13" s="58">
        <v>45</v>
      </c>
      <c r="BB13" s="58">
        <v>46</v>
      </c>
      <c r="BC13" s="58">
        <v>47</v>
      </c>
      <c r="BD13" s="58">
        <v>48</v>
      </c>
      <c r="BE13" s="58">
        <v>49</v>
      </c>
      <c r="BF13" s="58">
        <v>50</v>
      </c>
      <c r="BG13" s="58">
        <v>51</v>
      </c>
      <c r="BH13" s="58">
        <v>52</v>
      </c>
      <c r="BI13" s="58">
        <v>53</v>
      </c>
      <c r="BJ13" s="58">
        <v>54</v>
      </c>
      <c r="BK13" s="58">
        <v>55</v>
      </c>
      <c r="BL13" s="58">
        <v>56</v>
      </c>
      <c r="BM13" s="58">
        <v>57</v>
      </c>
      <c r="BN13" s="58">
        <v>58</v>
      </c>
      <c r="BO13" s="58">
        <v>59</v>
      </c>
      <c r="BP13" s="58">
        <v>60</v>
      </c>
      <c r="BQ13" s="60"/>
      <c r="BR13" s="60"/>
      <c r="BS13" s="60"/>
      <c r="BT13" s="60"/>
      <c r="BU13" s="60"/>
      <c r="BV13" s="60"/>
      <c r="BW13" s="60"/>
    </row>
    <row r="14" spans="1:75">
      <c r="A14" s="58" t="s">
        <v>167</v>
      </c>
      <c r="B14" s="58">
        <f>('LCOE parameters'!$B$27*Assumptions!$B$9)*('LCOE parameters'!$B$23*Assumptions!$B$4)/'LCOE parameters'!$B$41</f>
        <v>1173761828.5714285</v>
      </c>
      <c r="C14" s="58">
        <f>('LCOE parameters'!$B$27*Assumptions!$B$9)*('LCOE parameters'!$B$23*Assumptions!$B$4)/'LCOE parameters'!$B$41</f>
        <v>1173761828.5714285</v>
      </c>
      <c r="D14" s="58">
        <f>('LCOE parameters'!$B$27*Assumptions!$B$9)*('LCOE parameters'!$B$23*Assumptions!$B$4)/'LCOE parameters'!$B$41</f>
        <v>1173761828.5714285</v>
      </c>
      <c r="E14" s="58">
        <f>('LCOE parameters'!$B$27*Assumptions!$B$9)*('LCOE parameters'!$B$23*Assumptions!$B$4)/'LCOE parameters'!$B$41</f>
        <v>1173761828.5714285</v>
      </c>
      <c r="F14" s="58">
        <f>('LCOE parameters'!$B$27*Assumptions!$B$9)*('LCOE parameters'!$B$23*Assumptions!$B$4)/'LCOE parameters'!$B$41</f>
        <v>1173761828.5714285</v>
      </c>
      <c r="G14" s="58">
        <f>('LCOE parameters'!$B$27*Assumptions!$B$9)*('LCOE parameters'!$B$23*Assumptions!$B$4)/'LCOE parameters'!$B$41</f>
        <v>1173761828.5714285</v>
      </c>
      <c r="H14" s="58">
        <f>('LCOE parameters'!$B$27*Assumptions!$B$9)*('LCOE parameters'!$B$23*Assumptions!$B$4)/'LCOE parameters'!$B$41</f>
        <v>1173761828.5714285</v>
      </c>
      <c r="BQ14" s="60"/>
      <c r="BR14" s="60"/>
      <c r="BS14" s="60"/>
      <c r="BT14" s="60"/>
      <c r="BU14" s="60"/>
      <c r="BV14" s="60"/>
      <c r="BW14" s="60"/>
    </row>
    <row r="15" spans="1:75">
      <c r="A15" s="58" t="s">
        <v>170</v>
      </c>
      <c r="I15" s="58">
        <f>('LCOE parameters'!$B$27*Assumptions!$B$9)*('LCOE parameters'!$B$23*Assumptions!$B$4)/'LCOE parameters'!$B$42</f>
        <v>136938880</v>
      </c>
      <c r="J15" s="58">
        <f>('LCOE parameters'!$B$27*Assumptions!$B$9)*('LCOE parameters'!$B$23*Assumptions!$B$4)/'LCOE parameters'!$B$42</f>
        <v>136938880</v>
      </c>
      <c r="K15" s="58">
        <f>('LCOE parameters'!$B$27*Assumptions!$B$9)*('LCOE parameters'!$B$23*Assumptions!$B$4)/'LCOE parameters'!$B$42</f>
        <v>136938880</v>
      </c>
      <c r="L15" s="58">
        <f>('LCOE parameters'!$B$27*Assumptions!$B$9)*('LCOE parameters'!$B$23*Assumptions!$B$4)/'LCOE parameters'!$B$42</f>
        <v>136938880</v>
      </c>
      <c r="M15" s="58">
        <f>('LCOE parameters'!$B$27*Assumptions!$B$9)*('LCOE parameters'!$B$23*Assumptions!$B$4)/'LCOE parameters'!$B$42</f>
        <v>136938880</v>
      </c>
      <c r="N15" s="58">
        <f>('LCOE parameters'!$B$27*Assumptions!$B$9)*('LCOE parameters'!$B$23*Assumptions!$B$4)/'LCOE parameters'!$B$42</f>
        <v>136938880</v>
      </c>
      <c r="O15" s="58">
        <f>('LCOE parameters'!$B$27*Assumptions!$B$9)*('LCOE parameters'!$B$23*Assumptions!$B$4)/'LCOE parameters'!$B$42</f>
        <v>136938880</v>
      </c>
      <c r="P15" s="58">
        <f>('LCOE parameters'!$B$27*Assumptions!$B$9)*('LCOE parameters'!$B$23*Assumptions!$B$4)/'LCOE parameters'!$B$42</f>
        <v>136938880</v>
      </c>
      <c r="Q15" s="58">
        <f>('LCOE parameters'!$B$27*Assumptions!$B$9)*('LCOE parameters'!$B$23*Assumptions!$B$4)/'LCOE parameters'!$B$42</f>
        <v>136938880</v>
      </c>
      <c r="R15" s="58">
        <f>('LCOE parameters'!$B$27*Assumptions!$B$9)*('LCOE parameters'!$B$23*Assumptions!$B$4)/'LCOE parameters'!$B$42</f>
        <v>136938880</v>
      </c>
      <c r="S15" s="58">
        <f>('LCOE parameters'!$B$27*Assumptions!$B$9)*('LCOE parameters'!$B$23*Assumptions!$B$4)/'LCOE parameters'!$B$42</f>
        <v>136938880</v>
      </c>
      <c r="T15" s="58">
        <f>('LCOE parameters'!$B$27*Assumptions!$B$9)*('LCOE parameters'!$B$23*Assumptions!$B$4)/'LCOE parameters'!$B$42</f>
        <v>136938880</v>
      </c>
      <c r="U15" s="58">
        <f>('LCOE parameters'!$B$27*Assumptions!$B$9)*('LCOE parameters'!$B$23*Assumptions!$B$4)/'LCOE parameters'!$B$42</f>
        <v>136938880</v>
      </c>
      <c r="V15" s="58">
        <f>('LCOE parameters'!$B$27*Assumptions!$B$9)*('LCOE parameters'!$B$23*Assumptions!$B$4)/'LCOE parameters'!$B$42</f>
        <v>136938880</v>
      </c>
      <c r="W15" s="58">
        <f>('LCOE parameters'!$B$27*Assumptions!$B$9)*('LCOE parameters'!$B$23*Assumptions!$B$4)/'LCOE parameters'!$B$42</f>
        <v>136938880</v>
      </c>
      <c r="X15" s="58">
        <f>('LCOE parameters'!$B$27*Assumptions!$B$9)*('LCOE parameters'!$B$23*Assumptions!$B$4)/'LCOE parameters'!$B$42</f>
        <v>136938880</v>
      </c>
      <c r="Y15" s="58">
        <f>('LCOE parameters'!$B$27*Assumptions!$B$9)*('LCOE parameters'!$B$23*Assumptions!$B$4)/'LCOE parameters'!$B$42</f>
        <v>136938880</v>
      </c>
      <c r="Z15" s="58">
        <f>('LCOE parameters'!$B$27*Assumptions!$B$9)*('LCOE parameters'!$B$23*Assumptions!$B$4)/'LCOE parameters'!$B$42</f>
        <v>136938880</v>
      </c>
      <c r="AA15" s="58">
        <f>('LCOE parameters'!$B$27*Assumptions!$B$9)*('LCOE parameters'!$B$23*Assumptions!$B$4)/'LCOE parameters'!$B$42</f>
        <v>136938880</v>
      </c>
      <c r="AB15" s="58">
        <f>('LCOE parameters'!$B$27*Assumptions!$B$9)*('LCOE parameters'!$B$23*Assumptions!$B$4)/'LCOE parameters'!$B$42</f>
        <v>136938880</v>
      </c>
      <c r="AC15" s="58">
        <f>('LCOE parameters'!$B$27*Assumptions!$B$9)*('LCOE parameters'!$B$23*Assumptions!$B$4)/'LCOE parameters'!$B$42</f>
        <v>136938880</v>
      </c>
      <c r="AD15" s="58">
        <f>('LCOE parameters'!$B$27*Assumptions!$B$9)*('LCOE parameters'!$B$23*Assumptions!$B$4)/'LCOE parameters'!$B$42</f>
        <v>136938880</v>
      </c>
      <c r="AE15" s="58">
        <f>('LCOE parameters'!$B$27*Assumptions!$B$9)*('LCOE parameters'!$B$23*Assumptions!$B$4)/'LCOE parameters'!$B$42</f>
        <v>136938880</v>
      </c>
      <c r="AF15" s="58">
        <f>('LCOE parameters'!$B$27*Assumptions!$B$9)*('LCOE parameters'!$B$23*Assumptions!$B$4)/'LCOE parameters'!$B$42</f>
        <v>136938880</v>
      </c>
      <c r="AG15" s="58">
        <f>('LCOE parameters'!$B$27*Assumptions!$B$9)*('LCOE parameters'!$B$23*Assumptions!$B$4)/'LCOE parameters'!$B$42</f>
        <v>136938880</v>
      </c>
      <c r="AH15" s="58">
        <f>('LCOE parameters'!$B$27*Assumptions!$B$9)*('LCOE parameters'!$B$23*Assumptions!$B$4)/'LCOE parameters'!$B$42</f>
        <v>136938880</v>
      </c>
      <c r="AI15" s="58">
        <f>('LCOE parameters'!$B$27*Assumptions!$B$9)*('LCOE parameters'!$B$23*Assumptions!$B$4)/'LCOE parameters'!$B$42</f>
        <v>136938880</v>
      </c>
      <c r="AJ15" s="58">
        <f>('LCOE parameters'!$B$27*Assumptions!$B$9)*('LCOE parameters'!$B$23*Assumptions!$B$4)/'LCOE parameters'!$B$42</f>
        <v>136938880</v>
      </c>
      <c r="AK15" s="58">
        <f>('LCOE parameters'!$B$27*Assumptions!$B$9)*('LCOE parameters'!$B$23*Assumptions!$B$4)/'LCOE parameters'!$B$42</f>
        <v>136938880</v>
      </c>
      <c r="AL15" s="58">
        <f>('LCOE parameters'!$B$27*Assumptions!$B$9)*('LCOE parameters'!$B$23*Assumptions!$B$4)/'LCOE parameters'!$B$42</f>
        <v>136938880</v>
      </c>
      <c r="AM15" s="58">
        <f>('LCOE parameters'!$B$27*Assumptions!$B$9)*('LCOE parameters'!$B$23*Assumptions!$B$4)/'LCOE parameters'!$B$42</f>
        <v>136938880</v>
      </c>
      <c r="AN15" s="58">
        <f>('LCOE parameters'!$B$27*Assumptions!$B$9)*('LCOE parameters'!$B$23*Assumptions!$B$4)/'LCOE parameters'!$B$42</f>
        <v>136938880</v>
      </c>
      <c r="AO15" s="58">
        <f>('LCOE parameters'!$B$27*Assumptions!$B$9)*('LCOE parameters'!$B$23*Assumptions!$B$4)/'LCOE parameters'!$B$42</f>
        <v>136938880</v>
      </c>
      <c r="AP15" s="58">
        <f>('LCOE parameters'!$B$27*Assumptions!$B$9)*('LCOE parameters'!$B$23*Assumptions!$B$4)/'LCOE parameters'!$B$42</f>
        <v>136938880</v>
      </c>
      <c r="AQ15" s="58">
        <f>('LCOE parameters'!$B$27*Assumptions!$B$9)*('LCOE parameters'!$B$23*Assumptions!$B$4)/'LCOE parameters'!$B$42</f>
        <v>136938880</v>
      </c>
      <c r="AR15" s="58">
        <f>('LCOE parameters'!$B$27*Assumptions!$B$9)*('LCOE parameters'!$B$23*Assumptions!$B$4)/'LCOE parameters'!$B$42</f>
        <v>136938880</v>
      </c>
      <c r="AS15" s="58">
        <f>('LCOE parameters'!$B$27*Assumptions!$B$9)*('LCOE parameters'!$B$23*Assumptions!$B$4)/'LCOE parameters'!$B$42</f>
        <v>136938880</v>
      </c>
      <c r="AT15" s="58">
        <f>('LCOE parameters'!$B$27*Assumptions!$B$9)*('LCOE parameters'!$B$23*Assumptions!$B$4)/'LCOE parameters'!$B$42</f>
        <v>136938880</v>
      </c>
      <c r="AU15" s="58">
        <f>('LCOE parameters'!$B$27*Assumptions!$B$9)*('LCOE parameters'!$B$23*Assumptions!$B$4)/'LCOE parameters'!$B$42</f>
        <v>136938880</v>
      </c>
      <c r="AV15" s="58">
        <f>('LCOE parameters'!$B$27*Assumptions!$B$9)*('LCOE parameters'!$B$23*Assumptions!$B$4)/'LCOE parameters'!$B$42</f>
        <v>136938880</v>
      </c>
      <c r="AW15" s="58">
        <f>('LCOE parameters'!$B$27*Assumptions!$B$9)*('LCOE parameters'!$B$23*Assumptions!$B$4)/'LCOE parameters'!$B$42</f>
        <v>136938880</v>
      </c>
      <c r="AX15" s="58">
        <f>('LCOE parameters'!$B$27*Assumptions!$B$9)*('LCOE parameters'!$B$23*Assumptions!$B$4)/'LCOE parameters'!$B$42</f>
        <v>136938880</v>
      </c>
      <c r="AY15" s="58">
        <f>('LCOE parameters'!$B$27*Assumptions!$B$9)*('LCOE parameters'!$B$23*Assumptions!$B$4)/'LCOE parameters'!$B$42</f>
        <v>136938880</v>
      </c>
      <c r="AZ15" s="58">
        <f>('LCOE parameters'!$B$27*Assumptions!$B$9)*('LCOE parameters'!$B$23*Assumptions!$B$4)/'LCOE parameters'!$B$42</f>
        <v>136938880</v>
      </c>
      <c r="BA15" s="58">
        <f>('LCOE parameters'!$B$27*Assumptions!$B$9)*('LCOE parameters'!$B$23*Assumptions!$B$4)/'LCOE parameters'!$B$42</f>
        <v>136938880</v>
      </c>
      <c r="BB15" s="58">
        <f>('LCOE parameters'!$B$27*Assumptions!$B$9)*('LCOE parameters'!$B$23*Assumptions!$B$4)/'LCOE parameters'!$B$42</f>
        <v>136938880</v>
      </c>
      <c r="BC15" s="58">
        <f>('LCOE parameters'!$B$27*Assumptions!$B$9)*('LCOE parameters'!$B$23*Assumptions!$B$4)/'LCOE parameters'!$B$42</f>
        <v>136938880</v>
      </c>
      <c r="BD15" s="58">
        <f>('LCOE parameters'!$B$27*Assumptions!$B$9)*('LCOE parameters'!$B$23*Assumptions!$B$4)/'LCOE parameters'!$B$42</f>
        <v>136938880</v>
      </c>
      <c r="BE15" s="58">
        <f>('LCOE parameters'!$B$27*Assumptions!$B$9)*('LCOE parameters'!$B$23*Assumptions!$B$4)/'LCOE parameters'!$B$42</f>
        <v>136938880</v>
      </c>
      <c r="BF15" s="58">
        <f>('LCOE parameters'!$B$27*Assumptions!$B$9)*('LCOE parameters'!$B$23*Assumptions!$B$4)/'LCOE parameters'!$B$42</f>
        <v>136938880</v>
      </c>
      <c r="BG15" s="58">
        <f>('LCOE parameters'!$B$27*Assumptions!$B$9)*('LCOE parameters'!$B$23*Assumptions!$B$4)/'LCOE parameters'!$B$42</f>
        <v>136938880</v>
      </c>
      <c r="BH15" s="58">
        <f>('LCOE parameters'!$B$27*Assumptions!$B$9)*('LCOE parameters'!$B$23*Assumptions!$B$4)/'LCOE parameters'!$B$42</f>
        <v>136938880</v>
      </c>
      <c r="BI15" s="58">
        <f>('LCOE parameters'!$B$27*Assumptions!$B$9)*('LCOE parameters'!$B$23*Assumptions!$B$4)/'LCOE parameters'!$B$42</f>
        <v>136938880</v>
      </c>
      <c r="BJ15" s="58">
        <f>('LCOE parameters'!$B$27*Assumptions!$B$9)*('LCOE parameters'!$B$23*Assumptions!$B$4)/'LCOE parameters'!$B$42</f>
        <v>136938880</v>
      </c>
      <c r="BK15" s="58">
        <f>('LCOE parameters'!$B$27*Assumptions!$B$9)*('LCOE parameters'!$B$23*Assumptions!$B$4)/'LCOE parameters'!$B$42</f>
        <v>136938880</v>
      </c>
      <c r="BL15" s="58">
        <f>('LCOE parameters'!$B$27*Assumptions!$B$9)*('LCOE parameters'!$B$23*Assumptions!$B$4)/'LCOE parameters'!$B$42</f>
        <v>136938880</v>
      </c>
      <c r="BM15" s="58">
        <f>('LCOE parameters'!$B$27*Assumptions!$B$9)*('LCOE parameters'!$B$23*Assumptions!$B$4)/'LCOE parameters'!$B$42</f>
        <v>136938880</v>
      </c>
      <c r="BN15" s="58">
        <f>('LCOE parameters'!$B$27*Assumptions!$B$9)*('LCOE parameters'!$B$23*Assumptions!$B$4)/'LCOE parameters'!$B$42</f>
        <v>136938880</v>
      </c>
      <c r="BO15" s="58">
        <f>('LCOE parameters'!$B$27*Assumptions!$B$9)*('LCOE parameters'!$B$23*Assumptions!$B$4)/'LCOE parameters'!$B$42</f>
        <v>136938880</v>
      </c>
      <c r="BP15" s="58">
        <f>('LCOE parameters'!$B$27*Assumptions!$B$9)*('LCOE parameters'!$B$23*Assumptions!$B$4)/'LCOE parameters'!$B$42</f>
        <v>136938880</v>
      </c>
      <c r="BQ15" s="60"/>
      <c r="BR15" s="60"/>
      <c r="BS15" s="60"/>
      <c r="BT15" s="60"/>
      <c r="BU15" s="60"/>
      <c r="BV15" s="60"/>
      <c r="BW15" s="60"/>
    </row>
    <row r="16" spans="1:75">
      <c r="A16" s="58" t="s">
        <v>190</v>
      </c>
      <c r="B16" s="58">
        <f>SUM(B14)*B26</f>
        <v>82163328</v>
      </c>
      <c r="C16" s="58">
        <f>SUM(B14:C14)*C26</f>
        <v>164326656</v>
      </c>
      <c r="D16" s="58">
        <f>SUM(B14:D14)*D26</f>
        <v>246489984.00000003</v>
      </c>
      <c r="E16" s="58">
        <f>SUM(B14:E14)*E26</f>
        <v>328653312</v>
      </c>
      <c r="F16" s="58">
        <f>SUM(B14:F14)*F26</f>
        <v>410816640</v>
      </c>
      <c r="G16" s="58">
        <f>SUM(B14:G14)*G26</f>
        <v>492979968</v>
      </c>
      <c r="H16" s="58">
        <f>SUM(B14:H14)*H26</f>
        <v>575143296</v>
      </c>
      <c r="I16" s="58">
        <f>SUM($B$14:$H$14)*I26</f>
        <v>575143296</v>
      </c>
      <c r="J16" s="58">
        <f>SUM(SUM($B$14:$H$14),-SUM(I15))*J26</f>
        <v>565557574.39999998</v>
      </c>
      <c r="K16" s="58">
        <f>SUM(SUM($B$14:$H$14),-SUM(I15:J15))*K26</f>
        <v>555971852.79999995</v>
      </c>
      <c r="L16" s="58">
        <f>SUM(SUM($B$14:$H$14),-SUM(I15:K15))*L26</f>
        <v>546386131.19999993</v>
      </c>
      <c r="M16" s="58">
        <f>SUM(SUM($B$14:$H$14),-SUM(I15:L15))*M26</f>
        <v>536800409.59999996</v>
      </c>
      <c r="N16" s="58">
        <f>SUM(SUM($B$14:$H$14),-SUM(I15:M15))*N26</f>
        <v>527214688</v>
      </c>
      <c r="O16" s="58">
        <f>SUM(SUM($B$14:$H$14),-SUM(I15:N15))*O26</f>
        <v>517628966.39999998</v>
      </c>
      <c r="P16" s="58">
        <f>SUM(SUM($B$14:$H$14),-SUM(I15:O15))*P26</f>
        <v>508043244.79999995</v>
      </c>
      <c r="Q16" s="58">
        <f>SUM(SUM($B$14:$H$14),-SUM(I15:P15))*Q26</f>
        <v>498457523.19999999</v>
      </c>
      <c r="R16" s="58">
        <f>SUM(SUM($B$14:$H$14),-SUM(I15:Q15))*R26</f>
        <v>488871801.59999996</v>
      </c>
      <c r="S16" s="58">
        <f>SUM(SUM($B$14:$H$14),-SUM(I15:R15))*S26</f>
        <v>479286080</v>
      </c>
      <c r="T16" s="58">
        <f>SUM(SUM($B$14:$H$14),-SUM(I15:S15))*T26</f>
        <v>469700358.39999998</v>
      </c>
      <c r="U16" s="58">
        <f>SUM(SUM($B$14:$H$14),-SUM(I15:T15))*U26</f>
        <v>460114636.79999995</v>
      </c>
      <c r="V16" s="58">
        <f>SUM(SUM($B$14:$H$14),-SUM(I15:U15))*V26</f>
        <v>450528915.19999999</v>
      </c>
      <c r="W16" s="58">
        <f>SUM(SUM($B$14:$H$14),-SUM(I15:V15))*W26</f>
        <v>440943193.59999996</v>
      </c>
      <c r="X16" s="58">
        <f>SUM(SUM($B$14:$H$14),-SUM(I15:W15))*X26</f>
        <v>431357472</v>
      </c>
      <c r="Y16" s="58">
        <f>SUM(SUM($B$14:$H$14),-SUM(I15:X15))*Y26</f>
        <v>421771750.39999998</v>
      </c>
      <c r="Z16" s="58">
        <f>SUM(SUM($B$14:$H$14),-SUM(I15:Y15))*Z26</f>
        <v>412186028.79999995</v>
      </c>
      <c r="AA16" s="58">
        <f>SUM(SUM($B$14:$H$14),-SUM(I15:Z15))*AA26</f>
        <v>402600307.19999999</v>
      </c>
      <c r="AB16" s="58">
        <f>SUM(SUM($B$14:$H$14),-SUM(I15:AA15))*AB26</f>
        <v>393014585.59999996</v>
      </c>
      <c r="AC16" s="58">
        <f>SUM(SUM($B$14:$H$14),-SUM(I15:AB15))*AC26</f>
        <v>383428863.99999994</v>
      </c>
      <c r="AD16" s="58">
        <f>SUM(SUM($B$14:$H$14),-SUM(I15:AC15))*AD26</f>
        <v>373843142.39999998</v>
      </c>
      <c r="AE16" s="58">
        <f>SUM(SUM($B$14:$H$14),-SUM(I15:AD15))*AE26</f>
        <v>364257420.79999995</v>
      </c>
      <c r="AF16" s="58">
        <f>SUM(SUM($B$14:$H$14),-SUM(I15:AE15))*AF26</f>
        <v>354671699.19999999</v>
      </c>
      <c r="AG16" s="58">
        <f>SUM(SUM($B$14:$H$14),-SUM(I15:AF15))*AG26</f>
        <v>345085977.59999996</v>
      </c>
      <c r="AH16" s="58">
        <f>SUM(SUM($B$14:$H$14),-SUM(I15:AG15))*AH26</f>
        <v>335500255.99999994</v>
      </c>
      <c r="AI16" s="58">
        <f>SUM(SUM($B$14:$H$14),-SUM(I15:AH15))*AI26</f>
        <v>325914534.39999998</v>
      </c>
      <c r="AJ16" s="58">
        <f>SUM(SUM($B$14:$H$14),-SUM(I15:AI15))*AJ26</f>
        <v>316328812.79999995</v>
      </c>
      <c r="AK16" s="58">
        <f>SUM(SUM($B$14:$H$14),-SUM(I15:AJ15))*AK26</f>
        <v>306743091.19999999</v>
      </c>
      <c r="AL16" s="58">
        <f>SUM(SUM($B$14:$H$14),-SUM(I15:AK15))*AL26</f>
        <v>297157369.59999996</v>
      </c>
      <c r="AM16" s="58">
        <f>SUM(SUM($B$14:$H$14),-SUM(I15:AL15))*AM26</f>
        <v>287571647.99999994</v>
      </c>
      <c r="AN16" s="58">
        <f>SUM(SUM($B$14:$H$14),-SUM(I15:AM15))*AN26</f>
        <v>277985926.39999998</v>
      </c>
      <c r="AO16" s="58">
        <f>SUM(SUM($B$14:$H$14),-SUM(I15:AN15))*AO26</f>
        <v>268400204.79999995</v>
      </c>
      <c r="AP16" s="58">
        <f>SUM(SUM($B$14:$H$14),-SUM(I15:AO15))*AP26</f>
        <v>258814483.19999996</v>
      </c>
      <c r="AQ16" s="58">
        <f>SUM(SUM($B$14:$H$14),-SUM(I15:AP15))*AQ26</f>
        <v>249228761.59999996</v>
      </c>
      <c r="AR16" s="58">
        <f>SUM(SUM($B$14:$H$14),-SUM(I15:AQ15))*AR26</f>
        <v>239643039.99999997</v>
      </c>
      <c r="AS16" s="58">
        <f>SUM(SUM($B$14:$H$14),-SUM(I15:AR15))*AS26</f>
        <v>230057318.39999995</v>
      </c>
      <c r="AT16" s="58">
        <f>SUM(SUM($B$14:$H$14),-SUM(I15:AS15))*AT26</f>
        <v>220471596.79999995</v>
      </c>
      <c r="AU16" s="58">
        <f>SUM(SUM($B$14:$H$14),-SUM(I15:AT15))*AU26</f>
        <v>210885875.19999996</v>
      </c>
      <c r="AV16" s="58">
        <f>SUM(SUM($B$14:$H$14),-SUM(I15:AU15))*AV26</f>
        <v>201300153.59999996</v>
      </c>
      <c r="AW16" s="58">
        <f>SUM(SUM($B$14:$H$14),-SUM(I15:AV15))*AW26</f>
        <v>191714431.99999994</v>
      </c>
      <c r="AX16" s="58">
        <f>SUM(SUM($B$14:$H$14),-SUM(I15:AW15))*AX26</f>
        <v>182128710.39999995</v>
      </c>
      <c r="AY16" s="58">
        <f>SUM(SUM($B$14:$H$14),-SUM(I15:AX15))*AY26</f>
        <v>172542988.79999995</v>
      </c>
      <c r="AZ16" s="58">
        <f>SUM(SUM($B$14:$H$14),-SUM(I15:AY15))*AZ26</f>
        <v>162957267.19999996</v>
      </c>
      <c r="BA16" s="58">
        <f>SUM(SUM($B$14:$H$14),-SUM(I15:AZ15))*BA26</f>
        <v>153371545.59999993</v>
      </c>
      <c r="BB16" s="58">
        <f>SUM(SUM($B$14:$H$14),-SUM(I15:BA15))*BB26</f>
        <v>143785823.99999994</v>
      </c>
      <c r="BC16" s="58">
        <f>SUM(SUM($B$14:$H$14),-SUM(I15:BB15))*BC26</f>
        <v>134200102.39999995</v>
      </c>
      <c r="BD16" s="58">
        <f>SUM(SUM($B$14:$H$14),-SUM(I15:BC15))*BD26</f>
        <v>124614380.79999995</v>
      </c>
      <c r="BE16" s="58">
        <f>SUM(SUM($B$14:$H$14),-SUM(I15:BD15))*BE26</f>
        <v>115028659.19999994</v>
      </c>
      <c r="BF16" s="58">
        <f>SUM(SUM($B$14:$H$14),-SUM(I15:BE15))*BF26</f>
        <v>105442937.59999995</v>
      </c>
      <c r="BG16" s="58">
        <f>SUM(SUM($B$14:$H$14),-SUM(I15:BF15))*BG26</f>
        <v>95857215.99999994</v>
      </c>
      <c r="BH16" s="58">
        <f>SUM(SUM($B$14:$H$14),-SUM(I15:BG15))*BH26</f>
        <v>86271494.399999946</v>
      </c>
      <c r="BI16" s="58">
        <f>SUM(SUM($B$14:$H$14),-SUM(I15:BH15))*BI26</f>
        <v>76685772.799999937</v>
      </c>
      <c r="BJ16" s="58">
        <f>SUM(SUM($B$14:$H$14),-SUM(I15:BI15))*BJ26</f>
        <v>67100051.199999936</v>
      </c>
      <c r="BK16" s="58">
        <f>SUM(SUM($B$14:$H$14),-SUM(I15:BJ15))*BK26</f>
        <v>57514329.599999942</v>
      </c>
      <c r="BL16" s="58">
        <f>SUM(SUM($B$14:$H$14),-SUM(I15:BK15))*BL26</f>
        <v>47928607.99999994</v>
      </c>
      <c r="BM16" s="58">
        <f>SUM(SUM($B$14:$H$14),-SUM(I15:BL15))*BM26</f>
        <v>38342886.399999939</v>
      </c>
      <c r="BN16" s="58">
        <f>SUM(SUM($B$14:$H$14),-SUM(I15:BM15))*BN26</f>
        <v>28757164.799999937</v>
      </c>
      <c r="BO16" s="58">
        <f>SUM(SUM($B$14:$H$14),-SUM(I15:BN15))*BO26</f>
        <v>19171443.199999936</v>
      </c>
      <c r="BP16" s="58">
        <f>SUM(SUM($B$14:$H$14),-SUM(I15:BO15))*BP26</f>
        <v>9585721.5999999344</v>
      </c>
      <c r="BQ16" s="60"/>
      <c r="BR16" s="60"/>
      <c r="BS16" s="60"/>
      <c r="BT16" s="60"/>
      <c r="BU16" s="60"/>
      <c r="BV16" s="60"/>
      <c r="BW16" s="60"/>
    </row>
    <row r="17" spans="1:68">
      <c r="A17" s="58" t="s">
        <v>191</v>
      </c>
      <c r="I17" s="58">
        <f>('LCOE parameters'!$B$30*Assumptions!$B$12)*('LCOE parameters'!$B$23*Assumptions!$B$4)</f>
        <v>142400000</v>
      </c>
      <c r="J17" s="58">
        <f>('LCOE parameters'!$B$30*Assumptions!$B$12)*('LCOE parameters'!$B$23*Assumptions!$B$4)</f>
        <v>142400000</v>
      </c>
      <c r="K17" s="58">
        <f>('LCOE parameters'!$B$30*Assumptions!$B$12)*('LCOE parameters'!$B$23*Assumptions!$B$4)</f>
        <v>142400000</v>
      </c>
      <c r="L17" s="58">
        <f>('LCOE parameters'!$B$30*Assumptions!$B$12)*('LCOE parameters'!$B$23*Assumptions!$B$4)</f>
        <v>142400000</v>
      </c>
      <c r="M17" s="58">
        <f>('LCOE parameters'!$B$30*Assumptions!$B$12)*('LCOE parameters'!$B$23*Assumptions!$B$4)</f>
        <v>142400000</v>
      </c>
      <c r="N17" s="58">
        <f>('LCOE parameters'!$B$30*Assumptions!$B$12)*('LCOE parameters'!$B$23*Assumptions!$B$4)</f>
        <v>142400000</v>
      </c>
      <c r="O17" s="58">
        <f>('LCOE parameters'!$B$30*Assumptions!$B$12)*('LCOE parameters'!$B$23*Assumptions!$B$4)</f>
        <v>142400000</v>
      </c>
      <c r="P17" s="58">
        <f>('LCOE parameters'!$B$30*Assumptions!$B$12)*('LCOE parameters'!$B$23*Assumptions!$B$4)</f>
        <v>142400000</v>
      </c>
      <c r="Q17" s="58">
        <f>('LCOE parameters'!$B$30*Assumptions!$B$12)*('LCOE parameters'!$B$23*Assumptions!$B$4)</f>
        <v>142400000</v>
      </c>
      <c r="R17" s="58">
        <f>('LCOE parameters'!$B$30*Assumptions!$B$12)*('LCOE parameters'!$B$23*Assumptions!$B$4)</f>
        <v>142400000</v>
      </c>
      <c r="S17" s="58">
        <f>('LCOE parameters'!$B$30*Assumptions!$B$12)*('LCOE parameters'!$B$23*Assumptions!$B$4)</f>
        <v>142400000</v>
      </c>
      <c r="T17" s="58">
        <f>('LCOE parameters'!$B$30*Assumptions!$B$12)*('LCOE parameters'!$B$23*Assumptions!$B$4)</f>
        <v>142400000</v>
      </c>
      <c r="U17" s="58">
        <f>('LCOE parameters'!$B$30*Assumptions!$B$12)*('LCOE parameters'!$B$23*Assumptions!$B$4)</f>
        <v>142400000</v>
      </c>
      <c r="V17" s="58">
        <f>('LCOE parameters'!$B$30*Assumptions!$B$12)*('LCOE parameters'!$B$23*Assumptions!$B$4)</f>
        <v>142400000</v>
      </c>
      <c r="W17" s="58">
        <f>('LCOE parameters'!$B$30*Assumptions!$B$12)*('LCOE parameters'!$B$23*Assumptions!$B$4)</f>
        <v>142400000</v>
      </c>
      <c r="X17" s="58">
        <f>('LCOE parameters'!$B$30*Assumptions!$B$12)*('LCOE parameters'!$B$23*Assumptions!$B$4)</f>
        <v>142400000</v>
      </c>
      <c r="Y17" s="58">
        <f>('LCOE parameters'!$B$30*Assumptions!$B$12)*('LCOE parameters'!$B$23*Assumptions!$B$4)</f>
        <v>142400000</v>
      </c>
      <c r="Z17" s="58">
        <f>('LCOE parameters'!$B$30*Assumptions!$B$12)*('LCOE parameters'!$B$23*Assumptions!$B$4)</f>
        <v>142400000</v>
      </c>
      <c r="AA17" s="58">
        <f>('LCOE parameters'!$B$30*Assumptions!$B$12)*('LCOE parameters'!$B$23*Assumptions!$B$4)</f>
        <v>142400000</v>
      </c>
      <c r="AB17" s="58">
        <f>('LCOE parameters'!$B$30*Assumptions!$B$12)*('LCOE parameters'!$B$23*Assumptions!$B$4)</f>
        <v>142400000</v>
      </c>
      <c r="AC17" s="58">
        <f>('LCOE parameters'!$B$30*Assumptions!$B$12)*('LCOE parameters'!$B$23*Assumptions!$B$4)</f>
        <v>142400000</v>
      </c>
      <c r="AD17" s="58">
        <f>('LCOE parameters'!$B$30*Assumptions!$B$12)*('LCOE parameters'!$B$23*Assumptions!$B$4)</f>
        <v>142400000</v>
      </c>
      <c r="AE17" s="58">
        <f>('LCOE parameters'!$B$30*Assumptions!$B$12)*('LCOE parameters'!$B$23*Assumptions!$B$4)</f>
        <v>142400000</v>
      </c>
      <c r="AF17" s="58">
        <f>('LCOE parameters'!$B$30*Assumptions!$B$12)*('LCOE parameters'!$B$23*Assumptions!$B$4)</f>
        <v>142400000</v>
      </c>
      <c r="AG17" s="58">
        <f>('LCOE parameters'!$B$30*Assumptions!$B$12)*('LCOE parameters'!$B$23*Assumptions!$B$4)</f>
        <v>142400000</v>
      </c>
      <c r="AH17" s="58">
        <f>('LCOE parameters'!$B$30*Assumptions!$B$12)*('LCOE parameters'!$B$23*Assumptions!$B$4)</f>
        <v>142400000</v>
      </c>
      <c r="AI17" s="58">
        <f>('LCOE parameters'!$B$30*Assumptions!$B$12)*('LCOE parameters'!$B$23*Assumptions!$B$4)</f>
        <v>142400000</v>
      </c>
      <c r="AJ17" s="58">
        <f>('LCOE parameters'!$B$30*Assumptions!$B$12)*('LCOE parameters'!$B$23*Assumptions!$B$4)</f>
        <v>142400000</v>
      </c>
      <c r="AK17" s="58">
        <f>('LCOE parameters'!$B$30*Assumptions!$B$12)*('LCOE parameters'!$B$23*Assumptions!$B$4)</f>
        <v>142400000</v>
      </c>
      <c r="AL17" s="58">
        <f>('LCOE parameters'!$B$30*Assumptions!$B$12)*('LCOE parameters'!$B$23*Assumptions!$B$4)</f>
        <v>142400000</v>
      </c>
      <c r="AM17" s="58">
        <f>('LCOE parameters'!$B$30*Assumptions!$B$12)*('LCOE parameters'!$B$23*Assumptions!$B$4)</f>
        <v>142400000</v>
      </c>
      <c r="AN17" s="58">
        <f>('LCOE parameters'!$B$30*Assumptions!$B$12)*('LCOE parameters'!$B$23*Assumptions!$B$4)</f>
        <v>142400000</v>
      </c>
      <c r="AO17" s="58">
        <f>('LCOE parameters'!$B$30*Assumptions!$B$12)*('LCOE parameters'!$B$23*Assumptions!$B$4)</f>
        <v>142400000</v>
      </c>
      <c r="AP17" s="58">
        <f>('LCOE parameters'!$B$30*Assumptions!$B$12)*('LCOE parameters'!$B$23*Assumptions!$B$4)</f>
        <v>142400000</v>
      </c>
      <c r="AQ17" s="58">
        <f>('LCOE parameters'!$B$30*Assumptions!$B$12)*('LCOE parameters'!$B$23*Assumptions!$B$4)</f>
        <v>142400000</v>
      </c>
      <c r="AR17" s="58">
        <f>('LCOE parameters'!$B$30*Assumptions!$B$12)*('LCOE parameters'!$B$23*Assumptions!$B$4)</f>
        <v>142400000</v>
      </c>
      <c r="AS17" s="58">
        <f>('LCOE parameters'!$B$30*Assumptions!$B$12)*('LCOE parameters'!$B$23*Assumptions!$B$4)</f>
        <v>142400000</v>
      </c>
      <c r="AT17" s="58">
        <f>('LCOE parameters'!$B$30*Assumptions!$B$12)*('LCOE parameters'!$B$23*Assumptions!$B$4)</f>
        <v>142400000</v>
      </c>
      <c r="AU17" s="58">
        <f>('LCOE parameters'!$B$30*Assumptions!$B$12)*('LCOE parameters'!$B$23*Assumptions!$B$4)</f>
        <v>142400000</v>
      </c>
      <c r="AV17" s="58">
        <f>('LCOE parameters'!$B$30*Assumptions!$B$12)*('LCOE parameters'!$B$23*Assumptions!$B$4)</f>
        <v>142400000</v>
      </c>
      <c r="AW17" s="58">
        <f>('LCOE parameters'!$B$30*Assumptions!$B$12)*('LCOE parameters'!$B$23*Assumptions!$B$4)</f>
        <v>142400000</v>
      </c>
      <c r="AX17" s="58">
        <f>('LCOE parameters'!$B$30*Assumptions!$B$12)*('LCOE parameters'!$B$23*Assumptions!$B$4)</f>
        <v>142400000</v>
      </c>
      <c r="AY17" s="58">
        <f>('LCOE parameters'!$B$30*Assumptions!$B$12)*('LCOE parameters'!$B$23*Assumptions!$B$4)</f>
        <v>142400000</v>
      </c>
      <c r="AZ17" s="58">
        <f>('LCOE parameters'!$B$30*Assumptions!$B$12)*('LCOE parameters'!$B$23*Assumptions!$B$4)</f>
        <v>142400000</v>
      </c>
      <c r="BA17" s="58">
        <f>('LCOE parameters'!$B$30*Assumptions!$B$12)*('LCOE parameters'!$B$23*Assumptions!$B$4)</f>
        <v>142400000</v>
      </c>
      <c r="BB17" s="58">
        <f>('LCOE parameters'!$B$30*Assumptions!$B$12)*('LCOE parameters'!$B$23*Assumptions!$B$4)</f>
        <v>142400000</v>
      </c>
      <c r="BC17" s="58">
        <f>('LCOE parameters'!$B$30*Assumptions!$B$12)*('LCOE parameters'!$B$23*Assumptions!$B$4)</f>
        <v>142400000</v>
      </c>
      <c r="BD17" s="58">
        <f>('LCOE parameters'!$B$30*Assumptions!$B$12)*('LCOE parameters'!$B$23*Assumptions!$B$4)</f>
        <v>142400000</v>
      </c>
      <c r="BE17" s="58">
        <f>('LCOE parameters'!$B$30*Assumptions!$B$12)*('LCOE parameters'!$B$23*Assumptions!$B$4)</f>
        <v>142400000</v>
      </c>
      <c r="BF17" s="58">
        <f>('LCOE parameters'!$B$30*Assumptions!$B$12)*('LCOE parameters'!$B$23*Assumptions!$B$4)</f>
        <v>142400000</v>
      </c>
      <c r="BG17" s="58">
        <f>('LCOE parameters'!$B$30*Assumptions!$B$12)*('LCOE parameters'!$B$23*Assumptions!$B$4)</f>
        <v>142400000</v>
      </c>
      <c r="BH17" s="58">
        <f>('LCOE parameters'!$B$30*Assumptions!$B$12)*('LCOE parameters'!$B$23*Assumptions!$B$4)</f>
        <v>142400000</v>
      </c>
      <c r="BI17" s="58">
        <f>('LCOE parameters'!$B$30*Assumptions!$B$12)*('LCOE parameters'!$B$23*Assumptions!$B$4)</f>
        <v>142400000</v>
      </c>
      <c r="BJ17" s="58">
        <f>('LCOE parameters'!$B$30*Assumptions!$B$12)*('LCOE parameters'!$B$23*Assumptions!$B$4)</f>
        <v>142400000</v>
      </c>
      <c r="BK17" s="58">
        <f>('LCOE parameters'!$B$30*Assumptions!$B$12)*('LCOE parameters'!$B$23*Assumptions!$B$4)</f>
        <v>142400000</v>
      </c>
      <c r="BL17" s="58">
        <f>('LCOE parameters'!$B$30*Assumptions!$B$12)*('LCOE parameters'!$B$23*Assumptions!$B$4)</f>
        <v>142400000</v>
      </c>
      <c r="BM17" s="58">
        <f>('LCOE parameters'!$B$30*Assumptions!$B$12)*('LCOE parameters'!$B$23*Assumptions!$B$4)</f>
        <v>142400000</v>
      </c>
      <c r="BN17" s="58">
        <f>('LCOE parameters'!$B$30*Assumptions!$B$12)*('LCOE parameters'!$B$23*Assumptions!$B$4)</f>
        <v>142400000</v>
      </c>
      <c r="BO17" s="58">
        <f>('LCOE parameters'!$B$30*Assumptions!$B$12)*('LCOE parameters'!$B$23*Assumptions!$B$4)</f>
        <v>142400000</v>
      </c>
      <c r="BP17" s="58">
        <f>('LCOE parameters'!$B$30*Assumptions!$B$12)*('LCOE parameters'!$B$23*Assumptions!$B$4)</f>
        <v>142400000</v>
      </c>
    </row>
    <row r="18" spans="1:68">
      <c r="A18" s="58" t="s">
        <v>192</v>
      </c>
      <c r="D18" s="63"/>
      <c r="I18" s="58">
        <f>('LCOE parameters'!$B$31*Assumptions!$B$13)*('LCOE parameters'!$B$23*Assumptions!$B$4)*('LCOE parameters'!$B$24*Assumptions!$B$6)</f>
        <v>92745120</v>
      </c>
      <c r="J18" s="58">
        <f>('LCOE parameters'!$B$31*Assumptions!$B$13)*('LCOE parameters'!$B$23*Assumptions!$B$4)*('LCOE parameters'!$B$24*Assumptions!$B$6)</f>
        <v>92745120</v>
      </c>
      <c r="K18" s="58">
        <f>('LCOE parameters'!$B$31*Assumptions!$B$13)*('LCOE parameters'!$B$23*Assumptions!$B$4)*('LCOE parameters'!$B$24*Assumptions!$B$6)</f>
        <v>92745120</v>
      </c>
      <c r="L18" s="58">
        <f>('LCOE parameters'!$B$31*Assumptions!$B$13)*('LCOE parameters'!$B$23*Assumptions!$B$4)*('LCOE parameters'!$B$24*Assumptions!$B$6)</f>
        <v>92745120</v>
      </c>
      <c r="M18" s="58">
        <f>('LCOE parameters'!$B$31*Assumptions!$B$13)*('LCOE parameters'!$B$23*Assumptions!$B$4)*('LCOE parameters'!$B$24*Assumptions!$B$6)</f>
        <v>92745120</v>
      </c>
      <c r="N18" s="58">
        <f>('LCOE parameters'!$B$31*Assumptions!$B$13)*('LCOE parameters'!$B$23*Assumptions!$B$4)*('LCOE parameters'!$B$24*Assumptions!$B$6)</f>
        <v>92745120</v>
      </c>
      <c r="O18" s="58">
        <f>('LCOE parameters'!$B$31*Assumptions!$B$13)*('LCOE parameters'!$B$23*Assumptions!$B$4)*('LCOE parameters'!$B$24*Assumptions!$B$6)</f>
        <v>92745120</v>
      </c>
      <c r="P18" s="58">
        <f>('LCOE parameters'!$B$31*Assumptions!$B$13)*('LCOE parameters'!$B$23*Assumptions!$B$4)*('LCOE parameters'!$B$24*Assumptions!$B$6)</f>
        <v>92745120</v>
      </c>
      <c r="Q18" s="58">
        <f>('LCOE parameters'!$B$31*Assumptions!$B$13)*('LCOE parameters'!$B$23*Assumptions!$B$4)*('LCOE parameters'!$B$24*Assumptions!$B$6)</f>
        <v>92745120</v>
      </c>
      <c r="R18" s="58">
        <f>('LCOE parameters'!$B$31*Assumptions!$B$13)*('LCOE parameters'!$B$23*Assumptions!$B$4)*('LCOE parameters'!$B$24*Assumptions!$B$6)</f>
        <v>92745120</v>
      </c>
      <c r="S18" s="58">
        <f>('LCOE parameters'!$B$31*Assumptions!$B$13)*('LCOE parameters'!$B$23*Assumptions!$B$4)*('LCOE parameters'!$B$24*Assumptions!$B$6)</f>
        <v>92745120</v>
      </c>
      <c r="T18" s="58">
        <f>('LCOE parameters'!$B$31*Assumptions!$B$13)*('LCOE parameters'!$B$23*Assumptions!$B$4)*('LCOE parameters'!$B$24*Assumptions!$B$6)</f>
        <v>92745120</v>
      </c>
      <c r="U18" s="58">
        <f>('LCOE parameters'!$B$31*Assumptions!$B$13)*('LCOE parameters'!$B$23*Assumptions!$B$4)*('LCOE parameters'!$B$24*Assumptions!$B$6)</f>
        <v>92745120</v>
      </c>
      <c r="V18" s="58">
        <f>('LCOE parameters'!$B$31*Assumptions!$B$13)*('LCOE parameters'!$B$23*Assumptions!$B$4)*('LCOE parameters'!$B$24*Assumptions!$B$6)</f>
        <v>92745120</v>
      </c>
      <c r="W18" s="58">
        <f>('LCOE parameters'!$B$31*Assumptions!$B$13)*('LCOE parameters'!$B$23*Assumptions!$B$4)*('LCOE parameters'!$B$24*Assumptions!$B$6)</f>
        <v>92745120</v>
      </c>
      <c r="X18" s="58">
        <f>('LCOE parameters'!$B$31*Assumptions!$B$13)*('LCOE parameters'!$B$23*Assumptions!$B$4)*('LCOE parameters'!$B$24*Assumptions!$B$6)</f>
        <v>92745120</v>
      </c>
      <c r="Y18" s="58">
        <f>('LCOE parameters'!$B$31*Assumptions!$B$13)*('LCOE parameters'!$B$23*Assumptions!$B$4)*('LCOE parameters'!$B$24*Assumptions!$B$6)</f>
        <v>92745120</v>
      </c>
      <c r="Z18" s="58">
        <f>('LCOE parameters'!$B$31*Assumptions!$B$13)*('LCOE parameters'!$B$23*Assumptions!$B$4)*('LCOE parameters'!$B$24*Assumptions!$B$6)</f>
        <v>92745120</v>
      </c>
      <c r="AA18" s="58">
        <f>('LCOE parameters'!$B$31*Assumptions!$B$13)*('LCOE parameters'!$B$23*Assumptions!$B$4)*('LCOE parameters'!$B$24*Assumptions!$B$6)</f>
        <v>92745120</v>
      </c>
      <c r="AB18" s="58">
        <f>('LCOE parameters'!$B$31*Assumptions!$B$13)*('LCOE parameters'!$B$23*Assumptions!$B$4)*('LCOE parameters'!$B$24*Assumptions!$B$6)</f>
        <v>92745120</v>
      </c>
      <c r="AC18" s="58">
        <f>('LCOE parameters'!$B$31*Assumptions!$B$13)*('LCOE parameters'!$B$23*Assumptions!$B$4)*('LCOE parameters'!$B$24*Assumptions!$B$6)</f>
        <v>92745120</v>
      </c>
      <c r="AD18" s="58">
        <f>('LCOE parameters'!$B$31*Assumptions!$B$13)*('LCOE parameters'!$B$23*Assumptions!$B$4)*('LCOE parameters'!$B$24*Assumptions!$B$6)</f>
        <v>92745120</v>
      </c>
      <c r="AE18" s="58">
        <f>('LCOE parameters'!$B$31*Assumptions!$B$13)*('LCOE parameters'!$B$23*Assumptions!$B$4)*('LCOE parameters'!$B$24*Assumptions!$B$6)</f>
        <v>92745120</v>
      </c>
      <c r="AF18" s="58">
        <f>('LCOE parameters'!$B$31*Assumptions!$B$13)*('LCOE parameters'!$B$23*Assumptions!$B$4)*('LCOE parameters'!$B$24*Assumptions!$B$6)</f>
        <v>92745120</v>
      </c>
      <c r="AG18" s="58">
        <f>('LCOE parameters'!$B$31*Assumptions!$B$13)*('LCOE parameters'!$B$23*Assumptions!$B$4)*('LCOE parameters'!$B$24*Assumptions!$B$6)</f>
        <v>92745120</v>
      </c>
      <c r="AH18" s="58">
        <f>('LCOE parameters'!$B$31*Assumptions!$B$13)*('LCOE parameters'!$B$23*Assumptions!$B$4)*('LCOE parameters'!$B$24*Assumptions!$B$6)</f>
        <v>92745120</v>
      </c>
      <c r="AI18" s="58">
        <f>('LCOE parameters'!$B$31*Assumptions!$B$13)*('LCOE parameters'!$B$23*Assumptions!$B$4)*('LCOE parameters'!$B$24*Assumptions!$B$6)</f>
        <v>92745120</v>
      </c>
      <c r="AJ18" s="58">
        <f>('LCOE parameters'!$B$31*Assumptions!$B$13)*('LCOE parameters'!$B$23*Assumptions!$B$4)*('LCOE parameters'!$B$24*Assumptions!$B$6)</f>
        <v>92745120</v>
      </c>
      <c r="AK18" s="58">
        <f>('LCOE parameters'!$B$31*Assumptions!$B$13)*('LCOE parameters'!$B$23*Assumptions!$B$4)*('LCOE parameters'!$B$24*Assumptions!$B$6)</f>
        <v>92745120</v>
      </c>
      <c r="AL18" s="58">
        <f>('LCOE parameters'!$B$31*Assumptions!$B$13)*('LCOE parameters'!$B$23*Assumptions!$B$4)*('LCOE parameters'!$B$24*Assumptions!$B$6)</f>
        <v>92745120</v>
      </c>
      <c r="AM18" s="58">
        <f>('LCOE parameters'!$B$31*Assumptions!$B$13)*('LCOE parameters'!$B$23*Assumptions!$B$4)*('LCOE parameters'!$B$24*Assumptions!$B$6)</f>
        <v>92745120</v>
      </c>
      <c r="AN18" s="58">
        <f>('LCOE parameters'!$B$31*Assumptions!$B$13)*('LCOE parameters'!$B$23*Assumptions!$B$4)*('LCOE parameters'!$B$24*Assumptions!$B$6)</f>
        <v>92745120</v>
      </c>
      <c r="AO18" s="58">
        <f>('LCOE parameters'!$B$31*Assumptions!$B$13)*('LCOE parameters'!$B$23*Assumptions!$B$4)*('LCOE parameters'!$B$24*Assumptions!$B$6)</f>
        <v>92745120</v>
      </c>
      <c r="AP18" s="58">
        <f>('LCOE parameters'!$B$31*Assumptions!$B$13)*('LCOE parameters'!$B$23*Assumptions!$B$4)*('LCOE parameters'!$B$24*Assumptions!$B$6)</f>
        <v>92745120</v>
      </c>
      <c r="AQ18" s="58">
        <f>('LCOE parameters'!$B$31*Assumptions!$B$13)*('LCOE parameters'!$B$23*Assumptions!$B$4)*('LCOE parameters'!$B$24*Assumptions!$B$6)</f>
        <v>92745120</v>
      </c>
      <c r="AR18" s="58">
        <f>('LCOE parameters'!$B$31*Assumptions!$B$13)*('LCOE parameters'!$B$23*Assumptions!$B$4)*('LCOE parameters'!$B$24*Assumptions!$B$6)</f>
        <v>92745120</v>
      </c>
      <c r="AS18" s="58">
        <f>('LCOE parameters'!$B$31*Assumptions!$B$13)*('LCOE parameters'!$B$23*Assumptions!$B$4)*('LCOE parameters'!$B$24*Assumptions!$B$6)</f>
        <v>92745120</v>
      </c>
      <c r="AT18" s="58">
        <f>('LCOE parameters'!$B$31*Assumptions!$B$13)*('LCOE parameters'!$B$23*Assumptions!$B$4)*('LCOE parameters'!$B$24*Assumptions!$B$6)</f>
        <v>92745120</v>
      </c>
      <c r="AU18" s="58">
        <f>('LCOE parameters'!$B$31*Assumptions!$B$13)*('LCOE parameters'!$B$23*Assumptions!$B$4)*('LCOE parameters'!$B$24*Assumptions!$B$6)</f>
        <v>92745120</v>
      </c>
      <c r="AV18" s="58">
        <f>('LCOE parameters'!$B$31*Assumptions!$B$13)*('LCOE parameters'!$B$23*Assumptions!$B$4)*('LCOE parameters'!$B$24*Assumptions!$B$6)</f>
        <v>92745120</v>
      </c>
      <c r="AW18" s="58">
        <f>('LCOE parameters'!$B$31*Assumptions!$B$13)*('LCOE parameters'!$B$23*Assumptions!$B$4)*('LCOE parameters'!$B$24*Assumptions!$B$6)</f>
        <v>92745120</v>
      </c>
      <c r="AX18" s="58">
        <f>('LCOE parameters'!$B$31*Assumptions!$B$13)*('LCOE parameters'!$B$23*Assumptions!$B$4)*('LCOE parameters'!$B$24*Assumptions!$B$6)</f>
        <v>92745120</v>
      </c>
      <c r="AY18" s="58">
        <f>('LCOE parameters'!$B$31*Assumptions!$B$13)*('LCOE parameters'!$B$23*Assumptions!$B$4)*('LCOE parameters'!$B$24*Assumptions!$B$6)</f>
        <v>92745120</v>
      </c>
      <c r="AZ18" s="58">
        <f>('LCOE parameters'!$B$31*Assumptions!$B$13)*('LCOE parameters'!$B$23*Assumptions!$B$4)*('LCOE parameters'!$B$24*Assumptions!$B$6)</f>
        <v>92745120</v>
      </c>
      <c r="BA18" s="58">
        <f>('LCOE parameters'!$B$31*Assumptions!$B$13)*('LCOE parameters'!$B$23*Assumptions!$B$4)*('LCOE parameters'!$B$24*Assumptions!$B$6)</f>
        <v>92745120</v>
      </c>
      <c r="BB18" s="58">
        <f>('LCOE parameters'!$B$31*Assumptions!$B$13)*('LCOE parameters'!$B$23*Assumptions!$B$4)*('LCOE parameters'!$B$24*Assumptions!$B$6)</f>
        <v>92745120</v>
      </c>
      <c r="BC18" s="58">
        <f>('LCOE parameters'!$B$31*Assumptions!$B$13)*('LCOE parameters'!$B$23*Assumptions!$B$4)*('LCOE parameters'!$B$24*Assumptions!$B$6)</f>
        <v>92745120</v>
      </c>
      <c r="BD18" s="58">
        <f>('LCOE parameters'!$B$31*Assumptions!$B$13)*('LCOE parameters'!$B$23*Assumptions!$B$4)*('LCOE parameters'!$B$24*Assumptions!$B$6)</f>
        <v>92745120</v>
      </c>
      <c r="BE18" s="58">
        <f>('LCOE parameters'!$B$31*Assumptions!$B$13)*('LCOE parameters'!$B$23*Assumptions!$B$4)*('LCOE parameters'!$B$24*Assumptions!$B$6)</f>
        <v>92745120</v>
      </c>
      <c r="BF18" s="58">
        <f>('LCOE parameters'!$B$31*Assumptions!$B$13)*('LCOE parameters'!$B$23*Assumptions!$B$4)*('LCOE parameters'!$B$24*Assumptions!$B$6)</f>
        <v>92745120</v>
      </c>
      <c r="BG18" s="58">
        <f>('LCOE parameters'!$B$31*Assumptions!$B$13)*('LCOE parameters'!$B$23*Assumptions!$B$4)*('LCOE parameters'!$B$24*Assumptions!$B$6)</f>
        <v>92745120</v>
      </c>
      <c r="BH18" s="58">
        <f>('LCOE parameters'!$B$31*Assumptions!$B$13)*('LCOE parameters'!$B$23*Assumptions!$B$4)*('LCOE parameters'!$B$24*Assumptions!$B$6)</f>
        <v>92745120</v>
      </c>
      <c r="BI18" s="58">
        <f>('LCOE parameters'!$B$31*Assumptions!$B$13)*('LCOE parameters'!$B$23*Assumptions!$B$4)*('LCOE parameters'!$B$24*Assumptions!$B$6)</f>
        <v>92745120</v>
      </c>
      <c r="BJ18" s="58">
        <f>('LCOE parameters'!$B$31*Assumptions!$B$13)*('LCOE parameters'!$B$23*Assumptions!$B$4)*('LCOE parameters'!$B$24*Assumptions!$B$6)</f>
        <v>92745120</v>
      </c>
      <c r="BK18" s="58">
        <f>('LCOE parameters'!$B$31*Assumptions!$B$13)*('LCOE parameters'!$B$23*Assumptions!$B$4)*('LCOE parameters'!$B$24*Assumptions!$B$6)</f>
        <v>92745120</v>
      </c>
      <c r="BL18" s="58">
        <f>('LCOE parameters'!$B$31*Assumptions!$B$13)*('LCOE parameters'!$B$23*Assumptions!$B$4)*('LCOE parameters'!$B$24*Assumptions!$B$6)</f>
        <v>92745120</v>
      </c>
      <c r="BM18" s="58">
        <f>('LCOE parameters'!$B$31*Assumptions!$B$13)*('LCOE parameters'!$B$23*Assumptions!$B$4)*('LCOE parameters'!$B$24*Assumptions!$B$6)</f>
        <v>92745120</v>
      </c>
      <c r="BN18" s="58">
        <f>('LCOE parameters'!$B$31*Assumptions!$B$13)*('LCOE parameters'!$B$23*Assumptions!$B$4)*('LCOE parameters'!$B$24*Assumptions!$B$6)</f>
        <v>92745120</v>
      </c>
      <c r="BO18" s="58">
        <f>('LCOE parameters'!$B$31*Assumptions!$B$13)*('LCOE parameters'!$B$23*Assumptions!$B$4)*('LCOE parameters'!$B$24*Assumptions!$B$6)</f>
        <v>92745120</v>
      </c>
      <c r="BP18" s="58">
        <f>('LCOE parameters'!$B$31*Assumptions!$B$13)*('LCOE parameters'!$B$23*Assumptions!$B$4)*('LCOE parameters'!$B$24*Assumptions!$B$6)</f>
        <v>92745120</v>
      </c>
    </row>
    <row r="19" spans="1:68">
      <c r="A19" s="58" t="s">
        <v>194</v>
      </c>
      <c r="I19" s="58">
        <f>('LCOE parameters'!$B$32*Assumptions!$B$14)*('LCOE parameters'!$B$23*Assumptions!$B$4)*('LCOE parameters'!$B$24*Assumptions!$B$6)</f>
        <v>78268736.000000015</v>
      </c>
      <c r="J19" s="58">
        <f>('LCOE parameters'!$B$32*Assumptions!$B$14)*('LCOE parameters'!$B$23*Assumptions!$B$4)*('LCOE parameters'!$B$24*Assumptions!$B$6)</f>
        <v>78268736.000000015</v>
      </c>
      <c r="K19" s="58">
        <f>('LCOE parameters'!$B$32*Assumptions!$B$14)*('LCOE parameters'!$B$23*Assumptions!$B$4)*('LCOE parameters'!$B$24*Assumptions!$B$6)</f>
        <v>78268736.000000015</v>
      </c>
      <c r="L19" s="58">
        <f>('LCOE parameters'!$B$32*Assumptions!$B$14)*('LCOE parameters'!$B$23*Assumptions!$B$4)*('LCOE parameters'!$B$24*Assumptions!$B$6)</f>
        <v>78268736.000000015</v>
      </c>
      <c r="M19" s="58">
        <f>('LCOE parameters'!$B$32*Assumptions!$B$14)*('LCOE parameters'!$B$23*Assumptions!$B$4)*('LCOE parameters'!$B$24*Assumptions!$B$6)</f>
        <v>78268736.000000015</v>
      </c>
      <c r="N19" s="58">
        <f>('LCOE parameters'!$B$32*Assumptions!$B$14)*('LCOE parameters'!$B$23*Assumptions!$B$4)*('LCOE parameters'!$B$24*Assumptions!$B$6)</f>
        <v>78268736.000000015</v>
      </c>
      <c r="O19" s="58">
        <f>('LCOE parameters'!$B$32*Assumptions!$B$14)*('LCOE parameters'!$B$23*Assumptions!$B$4)*('LCOE parameters'!$B$24*Assumptions!$B$6)</f>
        <v>78268736.000000015</v>
      </c>
      <c r="P19" s="58">
        <f>('LCOE parameters'!$B$32*Assumptions!$B$14)*('LCOE parameters'!$B$23*Assumptions!$B$4)*('LCOE parameters'!$B$24*Assumptions!$B$6)</f>
        <v>78268736.000000015</v>
      </c>
      <c r="Q19" s="58">
        <f>('LCOE parameters'!$B$32*Assumptions!$B$14)*('LCOE parameters'!$B$23*Assumptions!$B$4)*('LCOE parameters'!$B$24*Assumptions!$B$6)</f>
        <v>78268736.000000015</v>
      </c>
      <c r="R19" s="58">
        <f>('LCOE parameters'!$B$32*Assumptions!$B$14)*('LCOE parameters'!$B$23*Assumptions!$B$4)*('LCOE parameters'!$B$24*Assumptions!$B$6)</f>
        <v>78268736.000000015</v>
      </c>
      <c r="S19" s="58">
        <f>('LCOE parameters'!$B$32*Assumptions!$B$14)*('LCOE parameters'!$B$23*Assumptions!$B$4)*('LCOE parameters'!$B$24*Assumptions!$B$6)</f>
        <v>78268736.000000015</v>
      </c>
      <c r="T19" s="58">
        <f>('LCOE parameters'!$B$32*Assumptions!$B$14)*('LCOE parameters'!$B$23*Assumptions!$B$4)*('LCOE parameters'!$B$24*Assumptions!$B$6)</f>
        <v>78268736.000000015</v>
      </c>
      <c r="U19" s="58">
        <f>('LCOE parameters'!$B$32*Assumptions!$B$14)*('LCOE parameters'!$B$23*Assumptions!$B$4)*('LCOE parameters'!$B$24*Assumptions!$B$6)</f>
        <v>78268736.000000015</v>
      </c>
      <c r="V19" s="58">
        <f>('LCOE parameters'!$B$32*Assumptions!$B$14)*('LCOE parameters'!$B$23*Assumptions!$B$4)*('LCOE parameters'!$B$24*Assumptions!$B$6)</f>
        <v>78268736.000000015</v>
      </c>
      <c r="W19" s="58">
        <f>('LCOE parameters'!$B$32*Assumptions!$B$14)*('LCOE parameters'!$B$23*Assumptions!$B$4)*('LCOE parameters'!$B$24*Assumptions!$B$6)</f>
        <v>78268736.000000015</v>
      </c>
      <c r="X19" s="58">
        <f>('LCOE parameters'!$B$32*Assumptions!$B$14)*('LCOE parameters'!$B$23*Assumptions!$B$4)*('LCOE parameters'!$B$24*Assumptions!$B$6)</f>
        <v>78268736.000000015</v>
      </c>
      <c r="Y19" s="58">
        <f>('LCOE parameters'!$B$32*Assumptions!$B$14)*('LCOE parameters'!$B$23*Assumptions!$B$4)*('LCOE parameters'!$B$24*Assumptions!$B$6)</f>
        <v>78268736.000000015</v>
      </c>
      <c r="Z19" s="58">
        <f>('LCOE parameters'!$B$32*Assumptions!$B$14)*('LCOE parameters'!$B$23*Assumptions!$B$4)*('LCOE parameters'!$B$24*Assumptions!$B$6)</f>
        <v>78268736.000000015</v>
      </c>
      <c r="AA19" s="58">
        <f>('LCOE parameters'!$B$32*Assumptions!$B$14)*('LCOE parameters'!$B$23*Assumptions!$B$4)*('LCOE parameters'!$B$24*Assumptions!$B$6)</f>
        <v>78268736.000000015</v>
      </c>
      <c r="AB19" s="58">
        <f>('LCOE parameters'!$B$32*Assumptions!$B$14)*('LCOE parameters'!$B$23*Assumptions!$B$4)*('LCOE parameters'!$B$24*Assumptions!$B$6)</f>
        <v>78268736.000000015</v>
      </c>
      <c r="AC19" s="58">
        <f>('LCOE parameters'!$B$32*Assumptions!$B$14)*('LCOE parameters'!$B$23*Assumptions!$B$4)*('LCOE parameters'!$B$24*Assumptions!$B$6)</f>
        <v>78268736.000000015</v>
      </c>
      <c r="AD19" s="58">
        <f>('LCOE parameters'!$B$32*Assumptions!$B$14)*('LCOE parameters'!$B$23*Assumptions!$B$4)*('LCOE parameters'!$B$24*Assumptions!$B$6)</f>
        <v>78268736.000000015</v>
      </c>
      <c r="AE19" s="58">
        <f>('LCOE parameters'!$B$32*Assumptions!$B$14)*('LCOE parameters'!$B$23*Assumptions!$B$4)*('LCOE parameters'!$B$24*Assumptions!$B$6)</f>
        <v>78268736.000000015</v>
      </c>
      <c r="AF19" s="58">
        <f>('LCOE parameters'!$B$32*Assumptions!$B$14)*('LCOE parameters'!$B$23*Assumptions!$B$4)*('LCOE parameters'!$B$24*Assumptions!$B$6)</f>
        <v>78268736.000000015</v>
      </c>
      <c r="AG19" s="58">
        <f>('LCOE parameters'!$B$32*Assumptions!$B$14)*('LCOE parameters'!$B$23*Assumptions!$B$4)*('LCOE parameters'!$B$24*Assumptions!$B$6)</f>
        <v>78268736.000000015</v>
      </c>
      <c r="AH19" s="58">
        <f>('LCOE parameters'!$B$32*Assumptions!$B$14)*('LCOE parameters'!$B$23*Assumptions!$B$4)*('LCOE parameters'!$B$24*Assumptions!$B$6)</f>
        <v>78268736.000000015</v>
      </c>
      <c r="AI19" s="58">
        <f>('LCOE parameters'!$B$32*Assumptions!$B$14)*('LCOE parameters'!$B$23*Assumptions!$B$4)*('LCOE parameters'!$B$24*Assumptions!$B$6)</f>
        <v>78268736.000000015</v>
      </c>
      <c r="AJ19" s="58">
        <f>('LCOE parameters'!$B$32*Assumptions!$B$14)*('LCOE parameters'!$B$23*Assumptions!$B$4)*('LCOE parameters'!$B$24*Assumptions!$B$6)</f>
        <v>78268736.000000015</v>
      </c>
      <c r="AK19" s="58">
        <f>('LCOE parameters'!$B$32*Assumptions!$B$14)*('LCOE parameters'!$B$23*Assumptions!$B$4)*('LCOE parameters'!$B$24*Assumptions!$B$6)</f>
        <v>78268736.000000015</v>
      </c>
      <c r="AL19" s="58">
        <f>('LCOE parameters'!$B$32*Assumptions!$B$14)*('LCOE parameters'!$B$23*Assumptions!$B$4)*('LCOE parameters'!$B$24*Assumptions!$B$6)</f>
        <v>78268736.000000015</v>
      </c>
      <c r="AM19" s="58">
        <f>('LCOE parameters'!$B$32*Assumptions!$B$14)*('LCOE parameters'!$B$23*Assumptions!$B$4)*('LCOE parameters'!$B$24*Assumptions!$B$6)</f>
        <v>78268736.000000015</v>
      </c>
      <c r="AN19" s="58">
        <f>('LCOE parameters'!$B$32*Assumptions!$B$14)*('LCOE parameters'!$B$23*Assumptions!$B$4)*('LCOE parameters'!$B$24*Assumptions!$B$6)</f>
        <v>78268736.000000015</v>
      </c>
      <c r="AO19" s="58">
        <f>('LCOE parameters'!$B$32*Assumptions!$B$14)*('LCOE parameters'!$B$23*Assumptions!$B$4)*('LCOE parameters'!$B$24*Assumptions!$B$6)</f>
        <v>78268736.000000015</v>
      </c>
      <c r="AP19" s="58">
        <f>('LCOE parameters'!$B$32*Assumptions!$B$14)*('LCOE parameters'!$B$23*Assumptions!$B$4)*('LCOE parameters'!$B$24*Assumptions!$B$6)</f>
        <v>78268736.000000015</v>
      </c>
      <c r="AQ19" s="58">
        <f>('LCOE parameters'!$B$32*Assumptions!$B$14)*('LCOE parameters'!$B$23*Assumptions!$B$4)*('LCOE parameters'!$B$24*Assumptions!$B$6)</f>
        <v>78268736.000000015</v>
      </c>
      <c r="AR19" s="58">
        <f>('LCOE parameters'!$B$32*Assumptions!$B$14)*('LCOE parameters'!$B$23*Assumptions!$B$4)*('LCOE parameters'!$B$24*Assumptions!$B$6)</f>
        <v>78268736.000000015</v>
      </c>
      <c r="AS19" s="58">
        <f>('LCOE parameters'!$B$32*Assumptions!$B$14)*('LCOE parameters'!$B$23*Assumptions!$B$4)*('LCOE parameters'!$B$24*Assumptions!$B$6)</f>
        <v>78268736.000000015</v>
      </c>
      <c r="AT19" s="58">
        <f>('LCOE parameters'!$B$32*Assumptions!$B$14)*('LCOE parameters'!$B$23*Assumptions!$B$4)*('LCOE parameters'!$B$24*Assumptions!$B$6)</f>
        <v>78268736.000000015</v>
      </c>
      <c r="AU19" s="58">
        <f>('LCOE parameters'!$B$32*Assumptions!$B$14)*('LCOE parameters'!$B$23*Assumptions!$B$4)*('LCOE parameters'!$B$24*Assumptions!$B$6)</f>
        <v>78268736.000000015</v>
      </c>
      <c r="AV19" s="58">
        <f>('LCOE parameters'!$B$32*Assumptions!$B$14)*('LCOE parameters'!$B$23*Assumptions!$B$4)*('LCOE parameters'!$B$24*Assumptions!$B$6)</f>
        <v>78268736.000000015</v>
      </c>
      <c r="AW19" s="58">
        <f>('LCOE parameters'!$B$32*Assumptions!$B$14)*('LCOE parameters'!$B$23*Assumptions!$B$4)*('LCOE parameters'!$B$24*Assumptions!$B$6)</f>
        <v>78268736.000000015</v>
      </c>
      <c r="AX19" s="58">
        <f>('LCOE parameters'!$B$32*Assumptions!$B$14)*('LCOE parameters'!$B$23*Assumptions!$B$4)*('LCOE parameters'!$B$24*Assumptions!$B$6)</f>
        <v>78268736.000000015</v>
      </c>
      <c r="AY19" s="58">
        <f>('LCOE parameters'!$B$32*Assumptions!$B$14)*('LCOE parameters'!$B$23*Assumptions!$B$4)*('LCOE parameters'!$B$24*Assumptions!$B$6)</f>
        <v>78268736.000000015</v>
      </c>
      <c r="AZ19" s="58">
        <f>('LCOE parameters'!$B$32*Assumptions!$B$14)*('LCOE parameters'!$B$23*Assumptions!$B$4)*('LCOE parameters'!$B$24*Assumptions!$B$6)</f>
        <v>78268736.000000015</v>
      </c>
      <c r="BA19" s="58">
        <f>('LCOE parameters'!$B$32*Assumptions!$B$14)*('LCOE parameters'!$B$23*Assumptions!$B$4)*('LCOE parameters'!$B$24*Assumptions!$B$6)</f>
        <v>78268736.000000015</v>
      </c>
      <c r="BB19" s="58">
        <f>('LCOE parameters'!$B$32*Assumptions!$B$14)*('LCOE parameters'!$B$23*Assumptions!$B$4)*('LCOE parameters'!$B$24*Assumptions!$B$6)</f>
        <v>78268736.000000015</v>
      </c>
      <c r="BC19" s="58">
        <f>('LCOE parameters'!$B$32*Assumptions!$B$14)*('LCOE parameters'!$B$23*Assumptions!$B$4)*('LCOE parameters'!$B$24*Assumptions!$B$6)</f>
        <v>78268736.000000015</v>
      </c>
      <c r="BD19" s="58">
        <f>('LCOE parameters'!$B$32*Assumptions!$B$14)*('LCOE parameters'!$B$23*Assumptions!$B$4)*('LCOE parameters'!$B$24*Assumptions!$B$6)</f>
        <v>78268736.000000015</v>
      </c>
      <c r="BE19" s="58">
        <f>('LCOE parameters'!$B$32*Assumptions!$B$14)*('LCOE parameters'!$B$23*Assumptions!$B$4)*('LCOE parameters'!$B$24*Assumptions!$B$6)</f>
        <v>78268736.000000015</v>
      </c>
      <c r="BF19" s="58">
        <f>('LCOE parameters'!$B$32*Assumptions!$B$14)*('LCOE parameters'!$B$23*Assumptions!$B$4)*('LCOE parameters'!$B$24*Assumptions!$B$6)</f>
        <v>78268736.000000015</v>
      </c>
      <c r="BG19" s="58">
        <f>('LCOE parameters'!$B$32*Assumptions!$B$14)*('LCOE parameters'!$B$23*Assumptions!$B$4)*('LCOE parameters'!$B$24*Assumptions!$B$6)</f>
        <v>78268736.000000015</v>
      </c>
      <c r="BH19" s="58">
        <f>('LCOE parameters'!$B$32*Assumptions!$B$14)*('LCOE parameters'!$B$23*Assumptions!$B$4)*('LCOE parameters'!$B$24*Assumptions!$B$6)</f>
        <v>78268736.000000015</v>
      </c>
      <c r="BI19" s="58">
        <f>('LCOE parameters'!$B$32*Assumptions!$B$14)*('LCOE parameters'!$B$23*Assumptions!$B$4)*('LCOE parameters'!$B$24*Assumptions!$B$6)</f>
        <v>78268736.000000015</v>
      </c>
      <c r="BJ19" s="58">
        <f>('LCOE parameters'!$B$32*Assumptions!$B$14)*('LCOE parameters'!$B$23*Assumptions!$B$4)*('LCOE parameters'!$B$24*Assumptions!$B$6)</f>
        <v>78268736.000000015</v>
      </c>
      <c r="BK19" s="58">
        <f>('LCOE parameters'!$B$32*Assumptions!$B$14)*('LCOE parameters'!$B$23*Assumptions!$B$4)*('LCOE parameters'!$B$24*Assumptions!$B$6)</f>
        <v>78268736.000000015</v>
      </c>
      <c r="BL19" s="58">
        <f>('LCOE parameters'!$B$32*Assumptions!$B$14)*('LCOE parameters'!$B$23*Assumptions!$B$4)*('LCOE parameters'!$B$24*Assumptions!$B$6)</f>
        <v>78268736.000000015</v>
      </c>
      <c r="BM19" s="58">
        <f>('LCOE parameters'!$B$32*Assumptions!$B$14)*('LCOE parameters'!$B$23*Assumptions!$B$4)*('LCOE parameters'!$B$24*Assumptions!$B$6)</f>
        <v>78268736.000000015</v>
      </c>
      <c r="BN19" s="58">
        <f>('LCOE parameters'!$B$32*Assumptions!$B$14)*('LCOE parameters'!$B$23*Assumptions!$B$4)*('LCOE parameters'!$B$24*Assumptions!$B$6)</f>
        <v>78268736.000000015</v>
      </c>
      <c r="BO19" s="58">
        <f>('LCOE parameters'!$B$32*Assumptions!$B$14)*('LCOE parameters'!$B$23*Assumptions!$B$4)*('LCOE parameters'!$B$24*Assumptions!$B$6)</f>
        <v>78268736.000000015</v>
      </c>
      <c r="BP19" s="58">
        <f>('LCOE parameters'!$B$32*Assumptions!$B$14)*('LCOE parameters'!$B$23*Assumptions!$B$4)*('LCOE parameters'!$B$24*Assumptions!$B$6)</f>
        <v>78268736.000000015</v>
      </c>
    </row>
    <row r="20" spans="1:68">
      <c r="A20" s="61" t="s">
        <v>195</v>
      </c>
      <c r="B20" s="61"/>
      <c r="C20" s="61"/>
      <c r="D20" s="61"/>
      <c r="E20" s="61"/>
      <c r="F20" s="61"/>
      <c r="G20" s="61"/>
      <c r="H20" s="61"/>
      <c r="I20" s="58">
        <f>SUM(('LCOE parameters'!$B$33*'LCOE parameters'!$B$23*'LCOE parameters'!$B$24),('LCOE parameters'!$B$34*'LCOE parameters'!$B$23*'LCOE parameters'!$B$24),('LCOE parameters'!$B$35*'LCOE parameters'!$B$23*'LCOE parameters'!$B$24),('LCOE parameters'!$B$36*'LCOE parameters'!$B$23*'LCOE parameters'!$B$24))</f>
        <v>0</v>
      </c>
      <c r="J20" s="58">
        <f>SUM(('LCOE parameters'!$B$33*'LCOE parameters'!$B$23*'LCOE parameters'!$B$24),('LCOE parameters'!$B$34*'LCOE parameters'!$B$23*'LCOE parameters'!$B$24),('LCOE parameters'!$B$35*'LCOE parameters'!$B$23*'LCOE parameters'!$B$24),('LCOE parameters'!$B$36*'LCOE parameters'!$B$23*'LCOE parameters'!$B$24))</f>
        <v>0</v>
      </c>
      <c r="K20" s="58">
        <f>SUM(('LCOE parameters'!$B$33*'LCOE parameters'!$B$23*'LCOE parameters'!$B$24),('LCOE parameters'!$B$34*'LCOE parameters'!$B$23*'LCOE parameters'!$B$24),('LCOE parameters'!$B$35*'LCOE parameters'!$B$23*'LCOE parameters'!$B$24),('LCOE parameters'!$B$36*'LCOE parameters'!$B$23*'LCOE parameters'!$B$24))</f>
        <v>0</v>
      </c>
      <c r="L20" s="58">
        <f>SUM(('LCOE parameters'!$B$33*'LCOE parameters'!$B$23*'LCOE parameters'!$B$24),('LCOE parameters'!$B$34*'LCOE parameters'!$B$23*'LCOE parameters'!$B$24),('LCOE parameters'!$B$35*'LCOE parameters'!$B$23*'LCOE parameters'!$B$24),('LCOE parameters'!$B$36*'LCOE parameters'!$B$23*'LCOE parameters'!$B$24))</f>
        <v>0</v>
      </c>
      <c r="M20" s="58">
        <f>SUM(('LCOE parameters'!$B$33*'LCOE parameters'!$B$23*'LCOE parameters'!$B$24),('LCOE parameters'!$B$34*'LCOE parameters'!$B$23*'LCOE parameters'!$B$24),('LCOE parameters'!$B$35*'LCOE parameters'!$B$23*'LCOE parameters'!$B$24),('LCOE parameters'!$B$36*'LCOE parameters'!$B$23*'LCOE parameters'!$B$24))</f>
        <v>0</v>
      </c>
      <c r="N20" s="58">
        <f>SUM(('LCOE parameters'!$B$33*'LCOE parameters'!$B$23*'LCOE parameters'!$B$24),('LCOE parameters'!$B$34*'LCOE parameters'!$B$23*'LCOE parameters'!$B$24),('LCOE parameters'!$B$35*'LCOE parameters'!$B$23*'LCOE parameters'!$B$24),('LCOE parameters'!$B$36*'LCOE parameters'!$B$23*'LCOE parameters'!$B$24))</f>
        <v>0</v>
      </c>
      <c r="O20" s="58">
        <f>SUM(('LCOE parameters'!$B$33*'LCOE parameters'!$B$23*'LCOE parameters'!$B$24),('LCOE parameters'!$B$34*'LCOE parameters'!$B$23*'LCOE parameters'!$B$24),('LCOE parameters'!$B$35*'LCOE parameters'!$B$23*'LCOE parameters'!$B$24),('LCOE parameters'!$B$36*'LCOE parameters'!$B$23*'LCOE parameters'!$B$24))</f>
        <v>0</v>
      </c>
      <c r="P20" s="58">
        <f>SUM(('LCOE parameters'!$B$33*'LCOE parameters'!$B$23*'LCOE parameters'!$B$24),('LCOE parameters'!$B$34*'LCOE parameters'!$B$23*'LCOE parameters'!$B$24),('LCOE parameters'!$B$35*'LCOE parameters'!$B$23*'LCOE parameters'!$B$24),('LCOE parameters'!$B$36*'LCOE parameters'!$B$23*'LCOE parameters'!$B$24))</f>
        <v>0</v>
      </c>
      <c r="Q20" s="58">
        <f>SUM(('LCOE parameters'!$B$33*'LCOE parameters'!$B$23*'LCOE parameters'!$B$24),('LCOE parameters'!$B$34*'LCOE parameters'!$B$23*'LCOE parameters'!$B$24),('LCOE parameters'!$B$35*'LCOE parameters'!$B$23*'LCOE parameters'!$B$24),('LCOE parameters'!$B$36*'LCOE parameters'!$B$23*'LCOE parameters'!$B$24))</f>
        <v>0</v>
      </c>
      <c r="R20" s="58">
        <f>SUM(('LCOE parameters'!$B$33*'LCOE parameters'!$B$23*'LCOE parameters'!$B$24),('LCOE parameters'!$B$34*'LCOE parameters'!$B$23*'LCOE parameters'!$B$24),('LCOE parameters'!$B$35*'LCOE parameters'!$B$23*'LCOE parameters'!$B$24),('LCOE parameters'!$B$36*'LCOE parameters'!$B$23*'LCOE parameters'!$B$24))</f>
        <v>0</v>
      </c>
      <c r="S20" s="58">
        <f>SUM(('LCOE parameters'!$B$33*'LCOE parameters'!$B$23*'LCOE parameters'!$B$24),('LCOE parameters'!$B$34*'LCOE parameters'!$B$23*'LCOE parameters'!$B$24),('LCOE parameters'!$B$35*'LCOE parameters'!$B$23*'LCOE parameters'!$B$24),('LCOE parameters'!$B$36*'LCOE parameters'!$B$23*'LCOE parameters'!$B$24))</f>
        <v>0</v>
      </c>
      <c r="T20" s="58">
        <f>SUM(('LCOE parameters'!$B$33*'LCOE parameters'!$B$23*'LCOE parameters'!$B$24),('LCOE parameters'!$B$34*'LCOE parameters'!$B$23*'LCOE parameters'!$B$24),('LCOE parameters'!$B$35*'LCOE parameters'!$B$23*'LCOE parameters'!$B$24),('LCOE parameters'!$B$36*'LCOE parameters'!$B$23*'LCOE parameters'!$B$24))</f>
        <v>0</v>
      </c>
      <c r="U20" s="58">
        <f>SUM(('LCOE parameters'!$B$33*'LCOE parameters'!$B$23*'LCOE parameters'!$B$24),('LCOE parameters'!$B$34*'LCOE parameters'!$B$23*'LCOE parameters'!$B$24),('LCOE parameters'!$B$35*'LCOE parameters'!$B$23*'LCOE parameters'!$B$24),('LCOE parameters'!$B$36*'LCOE parameters'!$B$23*'LCOE parameters'!$B$24))</f>
        <v>0</v>
      </c>
      <c r="V20" s="58">
        <f>SUM(('LCOE parameters'!$B$33*'LCOE parameters'!$B$23*'LCOE parameters'!$B$24),('LCOE parameters'!$B$34*'LCOE parameters'!$B$23*'LCOE parameters'!$B$24),('LCOE parameters'!$B$35*'LCOE parameters'!$B$23*'LCOE parameters'!$B$24),('LCOE parameters'!$B$36*'LCOE parameters'!$B$23*'LCOE parameters'!$B$24))</f>
        <v>0</v>
      </c>
      <c r="W20" s="58">
        <f>SUM(('LCOE parameters'!$B$33*'LCOE parameters'!$B$23*'LCOE parameters'!$B$24),('LCOE parameters'!$B$34*'LCOE parameters'!$B$23*'LCOE parameters'!$B$24),('LCOE parameters'!$B$35*'LCOE parameters'!$B$23*'LCOE parameters'!$B$24),('LCOE parameters'!$B$36*'LCOE parameters'!$B$23*'LCOE parameters'!$B$24))</f>
        <v>0</v>
      </c>
      <c r="X20" s="58">
        <f>SUM(('LCOE parameters'!$B$33*'LCOE parameters'!$B$23*'LCOE parameters'!$B$24),('LCOE parameters'!$B$34*'LCOE parameters'!$B$23*'LCOE parameters'!$B$24),('LCOE parameters'!$B$35*'LCOE parameters'!$B$23*'LCOE parameters'!$B$24),('LCOE parameters'!$B$36*'LCOE parameters'!$B$23*'LCOE parameters'!$B$24))</f>
        <v>0</v>
      </c>
      <c r="Y20" s="58">
        <f>SUM(('LCOE parameters'!$B$33*'LCOE parameters'!$B$23*'LCOE parameters'!$B$24),('LCOE parameters'!$B$34*'LCOE parameters'!$B$23*'LCOE parameters'!$B$24),('LCOE parameters'!$B$35*'LCOE parameters'!$B$23*'LCOE parameters'!$B$24),('LCOE parameters'!$B$36*'LCOE parameters'!$B$23*'LCOE parameters'!$B$24))</f>
        <v>0</v>
      </c>
      <c r="Z20" s="58">
        <f>SUM(('LCOE parameters'!$B$33*'LCOE parameters'!$B$23*'LCOE parameters'!$B$24),('LCOE parameters'!$B$34*'LCOE parameters'!$B$23*'LCOE parameters'!$B$24),('LCOE parameters'!$B$35*'LCOE parameters'!$B$23*'LCOE parameters'!$B$24),('LCOE parameters'!$B$36*'LCOE parameters'!$B$23*'LCOE parameters'!$B$24))</f>
        <v>0</v>
      </c>
      <c r="AA20" s="58">
        <f>SUM(('LCOE parameters'!$B$33*'LCOE parameters'!$B$23*'LCOE parameters'!$B$24),('LCOE parameters'!$B$34*'LCOE parameters'!$B$23*'LCOE parameters'!$B$24),('LCOE parameters'!$B$35*'LCOE parameters'!$B$23*'LCOE parameters'!$B$24),('LCOE parameters'!$B$36*'LCOE parameters'!$B$23*'LCOE parameters'!$B$24))</f>
        <v>0</v>
      </c>
      <c r="AB20" s="58">
        <f>SUM(('LCOE parameters'!$B$33*'LCOE parameters'!$B$23*'LCOE parameters'!$B$24),('LCOE parameters'!$B$34*'LCOE parameters'!$B$23*'LCOE parameters'!$B$24),('LCOE parameters'!$B$35*'LCOE parameters'!$B$23*'LCOE parameters'!$B$24),('LCOE parameters'!$B$36*'LCOE parameters'!$B$23*'LCOE parameters'!$B$24))</f>
        <v>0</v>
      </c>
      <c r="AC20" s="58">
        <f>SUM(('LCOE parameters'!$B$33*'LCOE parameters'!$B$23*'LCOE parameters'!$B$24),('LCOE parameters'!$B$34*'LCOE parameters'!$B$23*'LCOE parameters'!$B$24),('LCOE parameters'!$B$35*'LCOE parameters'!$B$23*'LCOE parameters'!$B$24),('LCOE parameters'!$B$36*'LCOE parameters'!$B$23*'LCOE parameters'!$B$24))</f>
        <v>0</v>
      </c>
      <c r="AD20" s="58">
        <f>SUM(('LCOE parameters'!$B$33*'LCOE parameters'!$B$23*'LCOE parameters'!$B$24),('LCOE parameters'!$B$34*'LCOE parameters'!$B$23*'LCOE parameters'!$B$24),('LCOE parameters'!$B$35*'LCOE parameters'!$B$23*'LCOE parameters'!$B$24),('LCOE parameters'!$B$36*'LCOE parameters'!$B$23*'LCOE parameters'!$B$24))</f>
        <v>0</v>
      </c>
      <c r="AE20" s="58">
        <f>SUM(('LCOE parameters'!$B$33*'LCOE parameters'!$B$23*'LCOE parameters'!$B$24),('LCOE parameters'!$B$34*'LCOE parameters'!$B$23*'LCOE parameters'!$B$24),('LCOE parameters'!$B$35*'LCOE parameters'!$B$23*'LCOE parameters'!$B$24),('LCOE parameters'!$B$36*'LCOE parameters'!$B$23*'LCOE parameters'!$B$24))</f>
        <v>0</v>
      </c>
      <c r="AF20" s="58">
        <f>SUM(('LCOE parameters'!$B$33*'LCOE parameters'!$B$23*'LCOE parameters'!$B$24),('LCOE parameters'!$B$34*'LCOE parameters'!$B$23*'LCOE parameters'!$B$24),('LCOE parameters'!$B$35*'LCOE parameters'!$B$23*'LCOE parameters'!$B$24),('LCOE parameters'!$B$36*'LCOE parameters'!$B$23*'LCOE parameters'!$B$24))</f>
        <v>0</v>
      </c>
      <c r="AG20" s="58">
        <f>SUM(('LCOE parameters'!$B$33*'LCOE parameters'!$B$23*'LCOE parameters'!$B$24),('LCOE parameters'!$B$34*'LCOE parameters'!$B$23*'LCOE parameters'!$B$24),('LCOE parameters'!$B$35*'LCOE parameters'!$B$23*'LCOE parameters'!$B$24),('LCOE parameters'!$B$36*'LCOE parameters'!$B$23*'LCOE parameters'!$B$24))</f>
        <v>0</v>
      </c>
      <c r="AH20" s="58">
        <f>SUM(('LCOE parameters'!$B$33*'LCOE parameters'!$B$23*'LCOE parameters'!$B$24),('LCOE parameters'!$B$34*'LCOE parameters'!$B$23*'LCOE parameters'!$B$24),('LCOE parameters'!$B$35*'LCOE parameters'!$B$23*'LCOE parameters'!$B$24),('LCOE parameters'!$B$36*'LCOE parameters'!$B$23*'LCOE parameters'!$B$24))</f>
        <v>0</v>
      </c>
      <c r="AI20" s="58">
        <f>SUM(('LCOE parameters'!$B$33*'LCOE parameters'!$B$23*'LCOE parameters'!$B$24),('LCOE parameters'!$B$34*'LCOE parameters'!$B$23*'LCOE parameters'!$B$24),('LCOE parameters'!$B$35*'LCOE parameters'!$B$23*'LCOE parameters'!$B$24),('LCOE parameters'!$B$36*'LCOE parameters'!$B$23*'LCOE parameters'!$B$24))</f>
        <v>0</v>
      </c>
      <c r="AJ20" s="58">
        <f>SUM(('LCOE parameters'!$B$33*'LCOE parameters'!$B$23*'LCOE parameters'!$B$24),('LCOE parameters'!$B$34*'LCOE parameters'!$B$23*'LCOE parameters'!$B$24),('LCOE parameters'!$B$35*'LCOE parameters'!$B$23*'LCOE parameters'!$B$24),('LCOE parameters'!$B$36*'LCOE parameters'!$B$23*'LCOE parameters'!$B$24))</f>
        <v>0</v>
      </c>
      <c r="AK20" s="58">
        <f>SUM(('LCOE parameters'!$B$33*'LCOE parameters'!$B$23*'LCOE parameters'!$B$24),('LCOE parameters'!$B$34*'LCOE parameters'!$B$23*'LCOE parameters'!$B$24),('LCOE parameters'!$B$35*'LCOE parameters'!$B$23*'LCOE parameters'!$B$24),('LCOE parameters'!$B$36*'LCOE parameters'!$B$23*'LCOE parameters'!$B$24))</f>
        <v>0</v>
      </c>
      <c r="AL20" s="58">
        <f>SUM(('LCOE parameters'!$B$33*'LCOE parameters'!$B$23*'LCOE parameters'!$B$24),('LCOE parameters'!$B$34*'LCOE parameters'!$B$23*'LCOE parameters'!$B$24),('LCOE parameters'!$B$35*'LCOE parameters'!$B$23*'LCOE parameters'!$B$24),('LCOE parameters'!$B$36*'LCOE parameters'!$B$23*'LCOE parameters'!$B$24))</f>
        <v>0</v>
      </c>
      <c r="AM20" s="58">
        <f>SUM(('LCOE parameters'!$B$33*'LCOE parameters'!$B$23*'LCOE parameters'!$B$24),('LCOE parameters'!$B$34*'LCOE parameters'!$B$23*'LCOE parameters'!$B$24),('LCOE parameters'!$B$35*'LCOE parameters'!$B$23*'LCOE parameters'!$B$24),('LCOE parameters'!$B$36*'LCOE parameters'!$B$23*'LCOE parameters'!$B$24))</f>
        <v>0</v>
      </c>
      <c r="AN20" s="58">
        <f>SUM(('LCOE parameters'!$B$33*'LCOE parameters'!$B$23*'LCOE parameters'!$B$24),('LCOE parameters'!$B$34*'LCOE parameters'!$B$23*'LCOE parameters'!$B$24),('LCOE parameters'!$B$35*'LCOE parameters'!$B$23*'LCOE parameters'!$B$24),('LCOE parameters'!$B$36*'LCOE parameters'!$B$23*'LCOE parameters'!$B$24))</f>
        <v>0</v>
      </c>
      <c r="AO20" s="58">
        <f>SUM(('LCOE parameters'!$B$33*'LCOE parameters'!$B$23*'LCOE parameters'!$B$24),('LCOE parameters'!$B$34*'LCOE parameters'!$B$23*'LCOE parameters'!$B$24),('LCOE parameters'!$B$35*'LCOE parameters'!$B$23*'LCOE parameters'!$B$24),('LCOE parameters'!$B$36*'LCOE parameters'!$B$23*'LCOE parameters'!$B$24))</f>
        <v>0</v>
      </c>
      <c r="AP20" s="58">
        <f>SUM(('LCOE parameters'!$B$33*'LCOE parameters'!$B$23*'LCOE parameters'!$B$24),('LCOE parameters'!$B$34*'LCOE parameters'!$B$23*'LCOE parameters'!$B$24),('LCOE parameters'!$B$35*'LCOE parameters'!$B$23*'LCOE parameters'!$B$24),('LCOE parameters'!$B$36*'LCOE parameters'!$B$23*'LCOE parameters'!$B$24))</f>
        <v>0</v>
      </c>
      <c r="AQ20" s="58">
        <f>SUM(('LCOE parameters'!$B$33*'LCOE parameters'!$B$23*'LCOE parameters'!$B$24),('LCOE parameters'!$B$34*'LCOE parameters'!$B$23*'LCOE parameters'!$B$24),('LCOE parameters'!$B$35*'LCOE parameters'!$B$23*'LCOE parameters'!$B$24),('LCOE parameters'!$B$36*'LCOE parameters'!$B$23*'LCOE parameters'!$B$24))</f>
        <v>0</v>
      </c>
      <c r="AR20" s="58">
        <f>SUM(('LCOE parameters'!$B$33*'LCOE parameters'!$B$23*'LCOE parameters'!$B$24),('LCOE parameters'!$B$34*'LCOE parameters'!$B$23*'LCOE parameters'!$B$24),('LCOE parameters'!$B$35*'LCOE parameters'!$B$23*'LCOE parameters'!$B$24),('LCOE parameters'!$B$36*'LCOE parameters'!$B$23*'LCOE parameters'!$B$24))</f>
        <v>0</v>
      </c>
      <c r="AS20" s="58">
        <f>SUM(('LCOE parameters'!$B$33*'LCOE parameters'!$B$23*'LCOE parameters'!$B$24),('LCOE parameters'!$B$34*'LCOE parameters'!$B$23*'LCOE parameters'!$B$24),('LCOE parameters'!$B$35*'LCOE parameters'!$B$23*'LCOE parameters'!$B$24),('LCOE parameters'!$B$36*'LCOE parameters'!$B$23*'LCOE parameters'!$B$24))</f>
        <v>0</v>
      </c>
      <c r="AT20" s="58">
        <f>SUM(('LCOE parameters'!$B$33*'LCOE parameters'!$B$23*'LCOE parameters'!$B$24),('LCOE parameters'!$B$34*'LCOE parameters'!$B$23*'LCOE parameters'!$B$24),('LCOE parameters'!$B$35*'LCOE parameters'!$B$23*'LCOE parameters'!$B$24),('LCOE parameters'!$B$36*'LCOE parameters'!$B$23*'LCOE parameters'!$B$24))</f>
        <v>0</v>
      </c>
      <c r="AU20" s="58">
        <f>SUM(('LCOE parameters'!$B$33*'LCOE parameters'!$B$23*'LCOE parameters'!$B$24),('LCOE parameters'!$B$34*'LCOE parameters'!$B$23*'LCOE parameters'!$B$24),('LCOE parameters'!$B$35*'LCOE parameters'!$B$23*'LCOE parameters'!$B$24),('LCOE parameters'!$B$36*'LCOE parameters'!$B$23*'LCOE parameters'!$B$24))</f>
        <v>0</v>
      </c>
      <c r="AV20" s="58">
        <f>SUM(('LCOE parameters'!$B$33*'LCOE parameters'!$B$23*'LCOE parameters'!$B$24),('LCOE parameters'!$B$34*'LCOE parameters'!$B$23*'LCOE parameters'!$B$24),('LCOE parameters'!$B$35*'LCOE parameters'!$B$23*'LCOE parameters'!$B$24),('LCOE parameters'!$B$36*'LCOE parameters'!$B$23*'LCOE parameters'!$B$24))</f>
        <v>0</v>
      </c>
      <c r="AW20" s="58">
        <f>SUM(('LCOE parameters'!$B$33*'LCOE parameters'!$B$23*'LCOE parameters'!$B$24),('LCOE parameters'!$B$34*'LCOE parameters'!$B$23*'LCOE parameters'!$B$24),('LCOE parameters'!$B$35*'LCOE parameters'!$B$23*'LCOE parameters'!$B$24),('LCOE parameters'!$B$36*'LCOE parameters'!$B$23*'LCOE parameters'!$B$24))</f>
        <v>0</v>
      </c>
      <c r="AX20" s="58">
        <f>SUM(('LCOE parameters'!$B$33*'LCOE parameters'!$B$23*'LCOE parameters'!$B$24),('LCOE parameters'!$B$34*'LCOE parameters'!$B$23*'LCOE parameters'!$B$24),('LCOE parameters'!$B$35*'LCOE parameters'!$B$23*'LCOE parameters'!$B$24),('LCOE parameters'!$B$36*'LCOE parameters'!$B$23*'LCOE parameters'!$B$24))</f>
        <v>0</v>
      </c>
      <c r="AY20" s="58">
        <f>SUM(('LCOE parameters'!$B$33*'LCOE parameters'!$B$23*'LCOE parameters'!$B$24),('LCOE parameters'!$B$34*'LCOE parameters'!$B$23*'LCOE parameters'!$B$24),('LCOE parameters'!$B$35*'LCOE parameters'!$B$23*'LCOE parameters'!$B$24),('LCOE parameters'!$B$36*'LCOE parameters'!$B$23*'LCOE parameters'!$B$24))</f>
        <v>0</v>
      </c>
      <c r="AZ20" s="58">
        <f>SUM(('LCOE parameters'!$B$33*'LCOE parameters'!$B$23*'LCOE parameters'!$B$24),('LCOE parameters'!$B$34*'LCOE parameters'!$B$23*'LCOE parameters'!$B$24),('LCOE parameters'!$B$35*'LCOE parameters'!$B$23*'LCOE parameters'!$B$24),('LCOE parameters'!$B$36*'LCOE parameters'!$B$23*'LCOE parameters'!$B$24))</f>
        <v>0</v>
      </c>
      <c r="BA20" s="58">
        <f>SUM(('LCOE parameters'!$B$33*'LCOE parameters'!$B$23*'LCOE parameters'!$B$24),('LCOE parameters'!$B$34*'LCOE parameters'!$B$23*'LCOE parameters'!$B$24),('LCOE parameters'!$B$35*'LCOE parameters'!$B$23*'LCOE parameters'!$B$24),('LCOE parameters'!$B$36*'LCOE parameters'!$B$23*'LCOE parameters'!$B$24))</f>
        <v>0</v>
      </c>
      <c r="BB20" s="58">
        <f>SUM(('LCOE parameters'!$B$33*'LCOE parameters'!$B$23*'LCOE parameters'!$B$24),('LCOE parameters'!$B$34*'LCOE parameters'!$B$23*'LCOE parameters'!$B$24),('LCOE parameters'!$B$35*'LCOE parameters'!$B$23*'LCOE parameters'!$B$24),('LCOE parameters'!$B$36*'LCOE parameters'!$B$23*'LCOE parameters'!$B$24))</f>
        <v>0</v>
      </c>
      <c r="BC20" s="58">
        <f>SUM(('LCOE parameters'!$B$33*'LCOE parameters'!$B$23*'LCOE parameters'!$B$24),('LCOE parameters'!$B$34*'LCOE parameters'!$B$23*'LCOE parameters'!$B$24),('LCOE parameters'!$B$35*'LCOE parameters'!$B$23*'LCOE parameters'!$B$24),('LCOE parameters'!$B$36*'LCOE parameters'!$B$23*'LCOE parameters'!$B$24))</f>
        <v>0</v>
      </c>
      <c r="BD20" s="58">
        <f>SUM(('LCOE parameters'!$B$33*'LCOE parameters'!$B$23*'LCOE parameters'!$B$24),('LCOE parameters'!$B$34*'LCOE parameters'!$B$23*'LCOE parameters'!$B$24),('LCOE parameters'!$B$35*'LCOE parameters'!$B$23*'LCOE parameters'!$B$24),('LCOE parameters'!$B$36*'LCOE parameters'!$B$23*'LCOE parameters'!$B$24))</f>
        <v>0</v>
      </c>
      <c r="BE20" s="58">
        <f>SUM(('LCOE parameters'!$B$33*'LCOE parameters'!$B$23*'LCOE parameters'!$B$24),('LCOE parameters'!$B$34*'LCOE parameters'!$B$23*'LCOE parameters'!$B$24),('LCOE parameters'!$B$35*'LCOE parameters'!$B$23*'LCOE parameters'!$B$24),('LCOE parameters'!$B$36*'LCOE parameters'!$B$23*'LCOE parameters'!$B$24))</f>
        <v>0</v>
      </c>
      <c r="BF20" s="58">
        <f>SUM(('LCOE parameters'!$B$33*'LCOE parameters'!$B$23*'LCOE parameters'!$B$24),('LCOE parameters'!$B$34*'LCOE parameters'!$B$23*'LCOE parameters'!$B$24),('LCOE parameters'!$B$35*'LCOE parameters'!$B$23*'LCOE parameters'!$B$24),('LCOE parameters'!$B$36*'LCOE parameters'!$B$23*'LCOE parameters'!$B$24))</f>
        <v>0</v>
      </c>
      <c r="BG20" s="58">
        <f>SUM(('LCOE parameters'!$B$33*'LCOE parameters'!$B$23*'LCOE parameters'!$B$24),('LCOE parameters'!$B$34*'LCOE parameters'!$B$23*'LCOE parameters'!$B$24),('LCOE parameters'!$B$35*'LCOE parameters'!$B$23*'LCOE parameters'!$B$24),('LCOE parameters'!$B$36*'LCOE parameters'!$B$23*'LCOE parameters'!$B$24))</f>
        <v>0</v>
      </c>
      <c r="BH20" s="58">
        <f>SUM(('LCOE parameters'!$B$33*'LCOE parameters'!$B$23*'LCOE parameters'!$B$24),('LCOE parameters'!$B$34*'LCOE parameters'!$B$23*'LCOE parameters'!$B$24),('LCOE parameters'!$B$35*'LCOE parameters'!$B$23*'LCOE parameters'!$B$24),('LCOE parameters'!$B$36*'LCOE parameters'!$B$23*'LCOE parameters'!$B$24))</f>
        <v>0</v>
      </c>
      <c r="BI20" s="58">
        <f>SUM(('LCOE parameters'!$B$33*'LCOE parameters'!$B$23*'LCOE parameters'!$B$24),('LCOE parameters'!$B$34*'LCOE parameters'!$B$23*'LCOE parameters'!$B$24),('LCOE parameters'!$B$35*'LCOE parameters'!$B$23*'LCOE parameters'!$B$24),('LCOE parameters'!$B$36*'LCOE parameters'!$B$23*'LCOE parameters'!$B$24))</f>
        <v>0</v>
      </c>
      <c r="BJ20" s="58">
        <f>SUM(('LCOE parameters'!$B$33*'LCOE parameters'!$B$23*'LCOE parameters'!$B$24),('LCOE parameters'!$B$34*'LCOE parameters'!$B$23*'LCOE parameters'!$B$24),('LCOE parameters'!$B$35*'LCOE parameters'!$B$23*'LCOE parameters'!$B$24),('LCOE parameters'!$B$36*'LCOE parameters'!$B$23*'LCOE parameters'!$B$24))</f>
        <v>0</v>
      </c>
      <c r="BK20" s="58">
        <f>SUM(('LCOE parameters'!$B$33*'LCOE parameters'!$B$23*'LCOE parameters'!$B$24),('LCOE parameters'!$B$34*'LCOE parameters'!$B$23*'LCOE parameters'!$B$24),('LCOE parameters'!$B$35*'LCOE parameters'!$B$23*'LCOE parameters'!$B$24),('LCOE parameters'!$B$36*'LCOE parameters'!$B$23*'LCOE parameters'!$B$24))</f>
        <v>0</v>
      </c>
      <c r="BL20" s="58">
        <f>SUM(('LCOE parameters'!$B$33*'LCOE parameters'!$B$23*'LCOE parameters'!$B$24),('LCOE parameters'!$B$34*'LCOE parameters'!$B$23*'LCOE parameters'!$B$24),('LCOE parameters'!$B$35*'LCOE parameters'!$B$23*'LCOE parameters'!$B$24),('LCOE parameters'!$B$36*'LCOE parameters'!$B$23*'LCOE parameters'!$B$24))</f>
        <v>0</v>
      </c>
      <c r="BM20" s="58">
        <f>SUM(('LCOE parameters'!$B$33*'LCOE parameters'!$B$23*'LCOE parameters'!$B$24),('LCOE parameters'!$B$34*'LCOE parameters'!$B$23*'LCOE parameters'!$B$24),('LCOE parameters'!$B$35*'LCOE parameters'!$B$23*'LCOE parameters'!$B$24),('LCOE parameters'!$B$36*'LCOE parameters'!$B$23*'LCOE parameters'!$B$24))</f>
        <v>0</v>
      </c>
      <c r="BN20" s="58">
        <f>SUM(('LCOE parameters'!$B$33*'LCOE parameters'!$B$23*'LCOE parameters'!$B$24),('LCOE parameters'!$B$34*'LCOE parameters'!$B$23*'LCOE parameters'!$B$24),('LCOE parameters'!$B$35*'LCOE parameters'!$B$23*'LCOE parameters'!$B$24),('LCOE parameters'!$B$36*'LCOE parameters'!$B$23*'LCOE parameters'!$B$24))</f>
        <v>0</v>
      </c>
      <c r="BO20" s="58">
        <f>SUM(('LCOE parameters'!$B$33*'LCOE parameters'!$B$23*'LCOE parameters'!$B$24),('LCOE parameters'!$B$34*'LCOE parameters'!$B$23*'LCOE parameters'!$B$24),('LCOE parameters'!$B$35*'LCOE parameters'!$B$23*'LCOE parameters'!$B$24),('LCOE parameters'!$B$36*'LCOE parameters'!$B$23*'LCOE parameters'!$B$24))</f>
        <v>0</v>
      </c>
      <c r="BP20" s="58">
        <f>SUM(('LCOE parameters'!$B$33*'LCOE parameters'!$B$23*'LCOE parameters'!$B$24),('LCOE parameters'!$B$34*'LCOE parameters'!$B$23*'LCOE parameters'!$B$24),('LCOE parameters'!$B$35*'LCOE parameters'!$B$23*'LCOE parameters'!$B$24),('LCOE parameters'!$B$36*'LCOE parameters'!$B$23*'LCOE parameters'!$B$24))</f>
        <v>0</v>
      </c>
    </row>
    <row r="21" spans="1:68">
      <c r="A21" s="61" t="s">
        <v>196</v>
      </c>
      <c r="B21" s="61"/>
      <c r="C21" s="61"/>
      <c r="D21" s="61"/>
      <c r="E21" s="61"/>
      <c r="F21" s="61"/>
      <c r="G21" s="61"/>
      <c r="H21" s="61"/>
      <c r="I21" s="58">
        <f>('LCOE parameters'!$B$37*Assumptions!$B$16)*('LCOE parameters'!$B$23*Assumptions!$B$4)*('LCOE parameters'!$B$24*Assumptions!$B$6)</f>
        <v>25879776</v>
      </c>
      <c r="J21" s="58">
        <f>('LCOE parameters'!$B$37*Assumptions!$B$16)*('LCOE parameters'!$B$23*Assumptions!$B$4)*('LCOE parameters'!$B$24*Assumptions!$B$6)</f>
        <v>25879776</v>
      </c>
      <c r="K21" s="58">
        <f>('LCOE parameters'!$B$37*Assumptions!$B$16)*('LCOE parameters'!$B$23*Assumptions!$B$4)*('LCOE parameters'!$B$24*Assumptions!$B$6)</f>
        <v>25879776</v>
      </c>
      <c r="L21" s="58">
        <f>('LCOE parameters'!$B$37*Assumptions!$B$16)*('LCOE parameters'!$B$23*Assumptions!$B$4)*('LCOE parameters'!$B$24*Assumptions!$B$6)</f>
        <v>25879776</v>
      </c>
      <c r="M21" s="58">
        <f>('LCOE parameters'!$B$37*Assumptions!$B$16)*('LCOE parameters'!$B$23*Assumptions!$B$4)*('LCOE parameters'!$B$24*Assumptions!$B$6)</f>
        <v>25879776</v>
      </c>
      <c r="N21" s="58">
        <f>('LCOE parameters'!$B$37*Assumptions!$B$16)*('LCOE parameters'!$B$23*Assumptions!$B$4)*('LCOE parameters'!$B$24*Assumptions!$B$6)</f>
        <v>25879776</v>
      </c>
      <c r="O21" s="58">
        <f>('LCOE parameters'!$B$37*Assumptions!$B$16)*('LCOE parameters'!$B$23*Assumptions!$B$4)*('LCOE parameters'!$B$24*Assumptions!$B$6)</f>
        <v>25879776</v>
      </c>
      <c r="P21" s="58">
        <f>('LCOE parameters'!$B$37*Assumptions!$B$16)*('LCOE parameters'!$B$23*Assumptions!$B$4)*('LCOE parameters'!$B$24*Assumptions!$B$6)</f>
        <v>25879776</v>
      </c>
      <c r="Q21" s="58">
        <f>('LCOE parameters'!$B$37*Assumptions!$B$16)*('LCOE parameters'!$B$23*Assumptions!$B$4)*('LCOE parameters'!$B$24*Assumptions!$B$6)</f>
        <v>25879776</v>
      </c>
      <c r="R21" s="58">
        <f>('LCOE parameters'!$B$37*Assumptions!$B$16)*('LCOE parameters'!$B$23*Assumptions!$B$4)*('LCOE parameters'!$B$24*Assumptions!$B$6)</f>
        <v>25879776</v>
      </c>
      <c r="S21" s="58">
        <f>('LCOE parameters'!$B$37*Assumptions!$B$16)*('LCOE parameters'!$B$23*Assumptions!$B$4)*('LCOE parameters'!$B$24*Assumptions!$B$6)</f>
        <v>25879776</v>
      </c>
      <c r="T21" s="58">
        <f>('LCOE parameters'!$B$37*Assumptions!$B$16)*('LCOE parameters'!$B$23*Assumptions!$B$4)*('LCOE parameters'!$B$24*Assumptions!$B$6)</f>
        <v>25879776</v>
      </c>
      <c r="U21" s="58">
        <f>('LCOE parameters'!$B$37*Assumptions!$B$16)*('LCOE parameters'!$B$23*Assumptions!$B$4)*('LCOE parameters'!$B$24*Assumptions!$B$6)</f>
        <v>25879776</v>
      </c>
      <c r="V21" s="58">
        <f>('LCOE parameters'!$B$37*Assumptions!$B$16)*('LCOE parameters'!$B$23*Assumptions!$B$4)*('LCOE parameters'!$B$24*Assumptions!$B$6)</f>
        <v>25879776</v>
      </c>
      <c r="W21" s="58">
        <f>('LCOE parameters'!$B$37*Assumptions!$B$16)*('LCOE parameters'!$B$23*Assumptions!$B$4)*('LCOE parameters'!$B$24*Assumptions!$B$6)</f>
        <v>25879776</v>
      </c>
      <c r="X21" s="58">
        <f>('LCOE parameters'!$B$37*Assumptions!$B$16)*('LCOE parameters'!$B$23*Assumptions!$B$4)*('LCOE parameters'!$B$24*Assumptions!$B$6)</f>
        <v>25879776</v>
      </c>
      <c r="Y21" s="58">
        <f>('LCOE parameters'!$B$37*Assumptions!$B$16)*('LCOE parameters'!$B$23*Assumptions!$B$4)*('LCOE parameters'!$B$24*Assumptions!$B$6)</f>
        <v>25879776</v>
      </c>
      <c r="Z21" s="58">
        <f>('LCOE parameters'!$B$37*Assumptions!$B$16)*('LCOE parameters'!$B$23*Assumptions!$B$4)*('LCOE parameters'!$B$24*Assumptions!$B$6)</f>
        <v>25879776</v>
      </c>
      <c r="AA21" s="58">
        <f>('LCOE parameters'!$B$37*Assumptions!$B$16)*('LCOE parameters'!$B$23*Assumptions!$B$4)*('LCOE parameters'!$B$24*Assumptions!$B$6)</f>
        <v>25879776</v>
      </c>
      <c r="AB21" s="58">
        <f>('LCOE parameters'!$B$37*Assumptions!$B$16)*('LCOE parameters'!$B$23*Assumptions!$B$4)*('LCOE parameters'!$B$24*Assumptions!$B$6)</f>
        <v>25879776</v>
      </c>
      <c r="AC21" s="58">
        <f>('LCOE parameters'!$B$37*Assumptions!$B$16)*('LCOE parameters'!$B$23*Assumptions!$B$4)*('LCOE parameters'!$B$24*Assumptions!$B$6)</f>
        <v>25879776</v>
      </c>
      <c r="AD21" s="58">
        <f>('LCOE parameters'!$B$37*Assumptions!$B$16)*('LCOE parameters'!$B$23*Assumptions!$B$4)*('LCOE parameters'!$B$24*Assumptions!$B$6)</f>
        <v>25879776</v>
      </c>
      <c r="AE21" s="58">
        <f>('LCOE parameters'!$B$37*Assumptions!$B$16)*('LCOE parameters'!$B$23*Assumptions!$B$4)*('LCOE parameters'!$B$24*Assumptions!$B$6)</f>
        <v>25879776</v>
      </c>
      <c r="AF21" s="58">
        <f>('LCOE parameters'!$B$37*Assumptions!$B$16)*('LCOE parameters'!$B$23*Assumptions!$B$4)*('LCOE parameters'!$B$24*Assumptions!$B$6)</f>
        <v>25879776</v>
      </c>
      <c r="AG21" s="58">
        <f>('LCOE parameters'!$B$37*Assumptions!$B$16)*('LCOE parameters'!$B$23*Assumptions!$B$4)*('LCOE parameters'!$B$24*Assumptions!$B$6)</f>
        <v>25879776</v>
      </c>
      <c r="AH21" s="58">
        <f>('LCOE parameters'!$B$37*Assumptions!$B$16)*('LCOE parameters'!$B$23*Assumptions!$B$4)*('LCOE parameters'!$B$24*Assumptions!$B$6)</f>
        <v>25879776</v>
      </c>
      <c r="AI21" s="58">
        <f>('LCOE parameters'!$B$37*Assumptions!$B$16)*('LCOE parameters'!$B$23*Assumptions!$B$4)*('LCOE parameters'!$B$24*Assumptions!$B$6)</f>
        <v>25879776</v>
      </c>
      <c r="AJ21" s="58">
        <f>('LCOE parameters'!$B$37*Assumptions!$B$16)*('LCOE parameters'!$B$23*Assumptions!$B$4)*('LCOE parameters'!$B$24*Assumptions!$B$6)</f>
        <v>25879776</v>
      </c>
      <c r="AK21" s="58">
        <f>('LCOE parameters'!$B$37*Assumptions!$B$16)*('LCOE parameters'!$B$23*Assumptions!$B$4)*('LCOE parameters'!$B$24*Assumptions!$B$6)</f>
        <v>25879776</v>
      </c>
      <c r="AL21" s="58">
        <f>('LCOE parameters'!$B$37*Assumptions!$B$16)*('LCOE parameters'!$B$23*Assumptions!$B$4)*('LCOE parameters'!$B$24*Assumptions!$B$6)</f>
        <v>25879776</v>
      </c>
      <c r="AM21" s="58">
        <f>('LCOE parameters'!$B$37*Assumptions!$B$16)*('LCOE parameters'!$B$23*Assumptions!$B$4)*('LCOE parameters'!$B$24*Assumptions!$B$6)</f>
        <v>25879776</v>
      </c>
      <c r="AN21" s="58">
        <f>('LCOE parameters'!$B$37*Assumptions!$B$16)*('LCOE parameters'!$B$23*Assumptions!$B$4)*('LCOE parameters'!$B$24*Assumptions!$B$6)</f>
        <v>25879776</v>
      </c>
      <c r="AO21" s="58">
        <f>('LCOE parameters'!$B$37*Assumptions!$B$16)*('LCOE parameters'!$B$23*Assumptions!$B$4)*('LCOE parameters'!$B$24*Assumptions!$B$6)</f>
        <v>25879776</v>
      </c>
      <c r="AP21" s="58">
        <f>('LCOE parameters'!$B$37*Assumptions!$B$16)*('LCOE parameters'!$B$23*Assumptions!$B$4)*('LCOE parameters'!$B$24*Assumptions!$B$6)</f>
        <v>25879776</v>
      </c>
      <c r="AQ21" s="58">
        <f>('LCOE parameters'!$B$37*Assumptions!$B$16)*('LCOE parameters'!$B$23*Assumptions!$B$4)*('LCOE parameters'!$B$24*Assumptions!$B$6)</f>
        <v>25879776</v>
      </c>
      <c r="AR21" s="58">
        <f>('LCOE parameters'!$B$37*Assumptions!$B$16)*('LCOE parameters'!$B$23*Assumptions!$B$4)*('LCOE parameters'!$B$24*Assumptions!$B$6)</f>
        <v>25879776</v>
      </c>
      <c r="AS21" s="58">
        <f>('LCOE parameters'!$B$37*Assumptions!$B$16)*('LCOE parameters'!$B$23*Assumptions!$B$4)*('LCOE parameters'!$B$24*Assumptions!$B$6)</f>
        <v>25879776</v>
      </c>
      <c r="AT21" s="58">
        <f>('LCOE parameters'!$B$37*Assumptions!$B$16)*('LCOE parameters'!$B$23*Assumptions!$B$4)*('LCOE parameters'!$B$24*Assumptions!$B$6)</f>
        <v>25879776</v>
      </c>
      <c r="AU21" s="58">
        <f>('LCOE parameters'!$B$37*Assumptions!$B$16)*('LCOE parameters'!$B$23*Assumptions!$B$4)*('LCOE parameters'!$B$24*Assumptions!$B$6)</f>
        <v>25879776</v>
      </c>
      <c r="AV21" s="58">
        <f>('LCOE parameters'!$B$37*Assumptions!$B$16)*('LCOE parameters'!$B$23*Assumptions!$B$4)*('LCOE parameters'!$B$24*Assumptions!$B$6)</f>
        <v>25879776</v>
      </c>
      <c r="AW21" s="58">
        <f>('LCOE parameters'!$B$37*Assumptions!$B$16)*('LCOE parameters'!$B$23*Assumptions!$B$4)*('LCOE parameters'!$B$24*Assumptions!$B$6)</f>
        <v>25879776</v>
      </c>
      <c r="AX21" s="58">
        <f>('LCOE parameters'!$B$37*Assumptions!$B$16)*('LCOE parameters'!$B$23*Assumptions!$B$4)*('LCOE parameters'!$B$24*Assumptions!$B$6)</f>
        <v>25879776</v>
      </c>
      <c r="AY21" s="58">
        <f>('LCOE parameters'!$B$37*Assumptions!$B$16)*('LCOE parameters'!$B$23*Assumptions!$B$4)*('LCOE parameters'!$B$24*Assumptions!$B$6)</f>
        <v>25879776</v>
      </c>
      <c r="AZ21" s="58">
        <f>('LCOE parameters'!$B$37*Assumptions!$B$16)*('LCOE parameters'!$B$23*Assumptions!$B$4)*('LCOE parameters'!$B$24*Assumptions!$B$6)</f>
        <v>25879776</v>
      </c>
      <c r="BA21" s="58">
        <f>('LCOE parameters'!$B$37*Assumptions!$B$16)*('LCOE parameters'!$B$23*Assumptions!$B$4)*('LCOE parameters'!$B$24*Assumptions!$B$6)</f>
        <v>25879776</v>
      </c>
      <c r="BB21" s="58">
        <f>('LCOE parameters'!$B$37*Assumptions!$B$16)*('LCOE parameters'!$B$23*Assumptions!$B$4)*('LCOE parameters'!$B$24*Assumptions!$B$6)</f>
        <v>25879776</v>
      </c>
      <c r="BC21" s="58">
        <f>('LCOE parameters'!$B$37*Assumptions!$B$16)*('LCOE parameters'!$B$23*Assumptions!$B$4)*('LCOE parameters'!$B$24*Assumptions!$B$6)</f>
        <v>25879776</v>
      </c>
      <c r="BD21" s="58">
        <f>('LCOE parameters'!$B$37*Assumptions!$B$16)*('LCOE parameters'!$B$23*Assumptions!$B$4)*('LCOE parameters'!$B$24*Assumptions!$B$6)</f>
        <v>25879776</v>
      </c>
      <c r="BE21" s="58">
        <f>('LCOE parameters'!$B$37*Assumptions!$B$16)*('LCOE parameters'!$B$23*Assumptions!$B$4)*('LCOE parameters'!$B$24*Assumptions!$B$6)</f>
        <v>25879776</v>
      </c>
      <c r="BF21" s="58">
        <f>('LCOE parameters'!$B$37*Assumptions!$B$16)*('LCOE parameters'!$B$23*Assumptions!$B$4)*('LCOE parameters'!$B$24*Assumptions!$B$6)</f>
        <v>25879776</v>
      </c>
      <c r="BG21" s="58">
        <f>('LCOE parameters'!$B$37*Assumptions!$B$16)*('LCOE parameters'!$B$23*Assumptions!$B$4)*('LCOE parameters'!$B$24*Assumptions!$B$6)</f>
        <v>25879776</v>
      </c>
      <c r="BH21" s="58">
        <f>('LCOE parameters'!$B$37*Assumptions!$B$16)*('LCOE parameters'!$B$23*Assumptions!$B$4)*('LCOE parameters'!$B$24*Assumptions!$B$6)</f>
        <v>25879776</v>
      </c>
      <c r="BI21" s="58">
        <f>('LCOE parameters'!$B$37*Assumptions!$B$16)*('LCOE parameters'!$B$23*Assumptions!$B$4)*('LCOE parameters'!$B$24*Assumptions!$B$6)</f>
        <v>25879776</v>
      </c>
      <c r="BJ21" s="58">
        <f>('LCOE parameters'!$B$37*Assumptions!$B$16)*('LCOE parameters'!$B$23*Assumptions!$B$4)*('LCOE parameters'!$B$24*Assumptions!$B$6)</f>
        <v>25879776</v>
      </c>
      <c r="BK21" s="58">
        <f>('LCOE parameters'!$B$37*Assumptions!$B$16)*('LCOE parameters'!$B$23*Assumptions!$B$4)*('LCOE parameters'!$B$24*Assumptions!$B$6)</f>
        <v>25879776</v>
      </c>
      <c r="BL21" s="58">
        <f>('LCOE parameters'!$B$37*Assumptions!$B$16)*('LCOE parameters'!$B$23*Assumptions!$B$4)*('LCOE parameters'!$B$24*Assumptions!$B$6)</f>
        <v>25879776</v>
      </c>
      <c r="BM21" s="58">
        <f>('LCOE parameters'!$B$37*Assumptions!$B$16)*('LCOE parameters'!$B$23*Assumptions!$B$4)*('LCOE parameters'!$B$24*Assumptions!$B$6)</f>
        <v>25879776</v>
      </c>
      <c r="BN21" s="58">
        <f>('LCOE parameters'!$B$37*Assumptions!$B$16)*('LCOE parameters'!$B$23*Assumptions!$B$4)*('LCOE parameters'!$B$24*Assumptions!$B$6)</f>
        <v>25879776</v>
      </c>
      <c r="BO21" s="58">
        <f>('LCOE parameters'!$B$37*Assumptions!$B$16)*('LCOE parameters'!$B$23*Assumptions!$B$4)*('LCOE parameters'!$B$24*Assumptions!$B$6)</f>
        <v>25879776</v>
      </c>
      <c r="BP21" s="58">
        <f>('LCOE parameters'!$B$37*Assumptions!$B$16)*('LCOE parameters'!$B$23*Assumptions!$B$4)*('LCOE parameters'!$B$24*Assumptions!$B$6)</f>
        <v>25879776</v>
      </c>
    </row>
    <row r="22" spans="1:68">
      <c r="A22" s="61" t="s">
        <v>197</v>
      </c>
      <c r="B22" s="61"/>
      <c r="C22" s="61"/>
      <c r="D22" s="61"/>
      <c r="E22" s="61"/>
      <c r="F22" s="61"/>
      <c r="G22" s="61"/>
      <c r="H22" s="61"/>
      <c r="I22" s="58">
        <f>('LCOE parameters'!$B$38*Assumptions!$B$17)*('LCOE parameters'!$B$23*Assumptions!$B$4)</f>
        <v>20540831.999999996</v>
      </c>
      <c r="J22" s="58">
        <f>('LCOE parameters'!$B$38*Assumptions!$B$17)*('LCOE parameters'!$B$23*Assumptions!$B$4)</f>
        <v>20540831.999999996</v>
      </c>
      <c r="K22" s="58">
        <f>('LCOE parameters'!$B$38*Assumptions!$B$17)*('LCOE parameters'!$B$23*Assumptions!$B$4)</f>
        <v>20540831.999999996</v>
      </c>
      <c r="L22" s="58">
        <f>('LCOE parameters'!$B$38*Assumptions!$B$17)*('LCOE parameters'!$B$23*Assumptions!$B$4)</f>
        <v>20540831.999999996</v>
      </c>
      <c r="M22" s="58">
        <f>('LCOE parameters'!$B$38*Assumptions!$B$17)*('LCOE parameters'!$B$23*Assumptions!$B$4)</f>
        <v>20540831.999999996</v>
      </c>
      <c r="N22" s="58">
        <f>('LCOE parameters'!$B$38*Assumptions!$B$17)*('LCOE parameters'!$B$23*Assumptions!$B$4)</f>
        <v>20540831.999999996</v>
      </c>
      <c r="O22" s="58">
        <f>('LCOE parameters'!$B$38*Assumptions!$B$17)*('LCOE parameters'!$B$23*Assumptions!$B$4)</f>
        <v>20540831.999999996</v>
      </c>
      <c r="P22" s="58">
        <f>('LCOE parameters'!$B$38*Assumptions!$B$17)*('LCOE parameters'!$B$23*Assumptions!$B$4)</f>
        <v>20540831.999999996</v>
      </c>
      <c r="Q22" s="58">
        <f>('LCOE parameters'!$B$38*Assumptions!$B$17)*('LCOE parameters'!$B$23*Assumptions!$B$4)</f>
        <v>20540831.999999996</v>
      </c>
      <c r="R22" s="58">
        <f>('LCOE parameters'!$B$38*Assumptions!$B$17)*('LCOE parameters'!$B$23*Assumptions!$B$4)</f>
        <v>20540831.999999996</v>
      </c>
      <c r="S22" s="58">
        <f>('LCOE parameters'!$B$38*Assumptions!$B$17)*('LCOE parameters'!$B$23*Assumptions!$B$4)</f>
        <v>20540831.999999996</v>
      </c>
      <c r="T22" s="58">
        <f>('LCOE parameters'!$B$38*Assumptions!$B$17)*('LCOE parameters'!$B$23*Assumptions!$B$4)</f>
        <v>20540831.999999996</v>
      </c>
      <c r="U22" s="58">
        <f>('LCOE parameters'!$B$38*Assumptions!$B$17)*('LCOE parameters'!$B$23*Assumptions!$B$4)</f>
        <v>20540831.999999996</v>
      </c>
      <c r="V22" s="58">
        <f>('LCOE parameters'!$B$38*Assumptions!$B$17)*('LCOE parameters'!$B$23*Assumptions!$B$4)</f>
        <v>20540831.999999996</v>
      </c>
      <c r="W22" s="58">
        <f>('LCOE parameters'!$B$38*Assumptions!$B$17)*('LCOE parameters'!$B$23*Assumptions!$B$4)</f>
        <v>20540831.999999996</v>
      </c>
      <c r="X22" s="58">
        <f>('LCOE parameters'!$B$38*Assumptions!$B$17)*('LCOE parameters'!$B$23*Assumptions!$B$4)</f>
        <v>20540831.999999996</v>
      </c>
      <c r="Y22" s="58">
        <f>('LCOE parameters'!$B$38*Assumptions!$B$17)*('LCOE parameters'!$B$23*Assumptions!$B$4)</f>
        <v>20540831.999999996</v>
      </c>
      <c r="Z22" s="58">
        <f>('LCOE parameters'!$B$38*Assumptions!$B$17)*('LCOE parameters'!$B$23*Assumptions!$B$4)</f>
        <v>20540831.999999996</v>
      </c>
      <c r="AA22" s="58">
        <f>('LCOE parameters'!$B$38*Assumptions!$B$17)*('LCOE parameters'!$B$23*Assumptions!$B$4)</f>
        <v>20540831.999999996</v>
      </c>
      <c r="AB22" s="58">
        <f>('LCOE parameters'!$B$38*Assumptions!$B$17)*('LCOE parameters'!$B$23*Assumptions!$B$4)</f>
        <v>20540831.999999996</v>
      </c>
      <c r="AC22" s="58">
        <f>('LCOE parameters'!$B$38*Assumptions!$B$17)*('LCOE parameters'!$B$23*Assumptions!$B$4)</f>
        <v>20540831.999999996</v>
      </c>
      <c r="AD22" s="58">
        <f>('LCOE parameters'!$B$38*Assumptions!$B$17)*('LCOE parameters'!$B$23*Assumptions!$B$4)</f>
        <v>20540831.999999996</v>
      </c>
      <c r="AE22" s="58">
        <f>('LCOE parameters'!$B$38*Assumptions!$B$17)*('LCOE parameters'!$B$23*Assumptions!$B$4)</f>
        <v>20540831.999999996</v>
      </c>
      <c r="AF22" s="58">
        <f>('LCOE parameters'!$B$38*Assumptions!$B$17)*('LCOE parameters'!$B$23*Assumptions!$B$4)</f>
        <v>20540831.999999996</v>
      </c>
      <c r="AG22" s="58">
        <f>('LCOE parameters'!$B$38*Assumptions!$B$17)*('LCOE parameters'!$B$23*Assumptions!$B$4)</f>
        <v>20540831.999999996</v>
      </c>
      <c r="AH22" s="58">
        <f>('LCOE parameters'!$B$38*Assumptions!$B$17)*('LCOE parameters'!$B$23*Assumptions!$B$4)</f>
        <v>20540831.999999996</v>
      </c>
      <c r="AI22" s="58">
        <f>('LCOE parameters'!$B$38*Assumptions!$B$17)*('LCOE parameters'!$B$23*Assumptions!$B$4)</f>
        <v>20540831.999999996</v>
      </c>
      <c r="AJ22" s="58">
        <f>('LCOE parameters'!$B$38*Assumptions!$B$17)*('LCOE parameters'!$B$23*Assumptions!$B$4)</f>
        <v>20540831.999999996</v>
      </c>
      <c r="AK22" s="58">
        <f>('LCOE parameters'!$B$38*Assumptions!$B$17)*('LCOE parameters'!$B$23*Assumptions!$B$4)</f>
        <v>20540831.999999996</v>
      </c>
      <c r="AL22" s="58">
        <f>('LCOE parameters'!$B$38*Assumptions!$B$17)*('LCOE parameters'!$B$23*Assumptions!$B$4)</f>
        <v>20540831.999999996</v>
      </c>
      <c r="AM22" s="58">
        <f>('LCOE parameters'!$B$38*Assumptions!$B$17)*('LCOE parameters'!$B$23*Assumptions!$B$4)</f>
        <v>20540831.999999996</v>
      </c>
      <c r="AN22" s="58">
        <f>('LCOE parameters'!$B$38*Assumptions!$B$17)*('LCOE parameters'!$B$23*Assumptions!$B$4)</f>
        <v>20540831.999999996</v>
      </c>
      <c r="AO22" s="58">
        <f>('LCOE parameters'!$B$38*Assumptions!$B$17)*('LCOE parameters'!$B$23*Assumptions!$B$4)</f>
        <v>20540831.999999996</v>
      </c>
      <c r="AP22" s="58">
        <f>('LCOE parameters'!$B$38*Assumptions!$B$17)*('LCOE parameters'!$B$23*Assumptions!$B$4)</f>
        <v>20540831.999999996</v>
      </c>
      <c r="AQ22" s="58">
        <f>('LCOE parameters'!$B$38*Assumptions!$B$17)*('LCOE parameters'!$B$23*Assumptions!$B$4)</f>
        <v>20540831.999999996</v>
      </c>
      <c r="AR22" s="58">
        <f>('LCOE parameters'!$B$38*Assumptions!$B$17)*('LCOE parameters'!$B$23*Assumptions!$B$4)</f>
        <v>20540831.999999996</v>
      </c>
      <c r="AS22" s="58">
        <f>('LCOE parameters'!$B$38*Assumptions!$B$17)*('LCOE parameters'!$B$23*Assumptions!$B$4)</f>
        <v>20540831.999999996</v>
      </c>
      <c r="AT22" s="58">
        <f>('LCOE parameters'!$B$38*Assumptions!$B$17)*('LCOE parameters'!$B$23*Assumptions!$B$4)</f>
        <v>20540831.999999996</v>
      </c>
      <c r="AU22" s="58">
        <f>('LCOE parameters'!$B$38*Assumptions!$B$17)*('LCOE parameters'!$B$23*Assumptions!$B$4)</f>
        <v>20540831.999999996</v>
      </c>
      <c r="AV22" s="58">
        <f>('LCOE parameters'!$B$38*Assumptions!$B$17)*('LCOE parameters'!$B$23*Assumptions!$B$4)</f>
        <v>20540831.999999996</v>
      </c>
      <c r="AW22" s="58">
        <f>('LCOE parameters'!$B$38*Assumptions!$B$17)*('LCOE parameters'!$B$23*Assumptions!$B$4)</f>
        <v>20540831.999999996</v>
      </c>
      <c r="AX22" s="58">
        <f>('LCOE parameters'!$B$38*Assumptions!$B$17)*('LCOE parameters'!$B$23*Assumptions!$B$4)</f>
        <v>20540831.999999996</v>
      </c>
      <c r="AY22" s="58">
        <f>('LCOE parameters'!$B$38*Assumptions!$B$17)*('LCOE parameters'!$B$23*Assumptions!$B$4)</f>
        <v>20540831.999999996</v>
      </c>
      <c r="AZ22" s="58">
        <f>('LCOE parameters'!$B$38*Assumptions!$B$17)*('LCOE parameters'!$B$23*Assumptions!$B$4)</f>
        <v>20540831.999999996</v>
      </c>
      <c r="BA22" s="58">
        <f>('LCOE parameters'!$B$38*Assumptions!$B$17)*('LCOE parameters'!$B$23*Assumptions!$B$4)</f>
        <v>20540831.999999996</v>
      </c>
      <c r="BB22" s="58">
        <f>('LCOE parameters'!$B$38*Assumptions!$B$17)*('LCOE parameters'!$B$23*Assumptions!$B$4)</f>
        <v>20540831.999999996</v>
      </c>
      <c r="BC22" s="58">
        <f>('LCOE parameters'!$B$38*Assumptions!$B$17)*('LCOE parameters'!$B$23*Assumptions!$B$4)</f>
        <v>20540831.999999996</v>
      </c>
      <c r="BD22" s="58">
        <f>('LCOE parameters'!$B$38*Assumptions!$B$17)*('LCOE parameters'!$B$23*Assumptions!$B$4)</f>
        <v>20540831.999999996</v>
      </c>
      <c r="BE22" s="58">
        <f>('LCOE parameters'!$B$38*Assumptions!$B$17)*('LCOE parameters'!$B$23*Assumptions!$B$4)</f>
        <v>20540831.999999996</v>
      </c>
      <c r="BF22" s="58">
        <f>('LCOE parameters'!$B$38*Assumptions!$B$17)*('LCOE parameters'!$B$23*Assumptions!$B$4)</f>
        <v>20540831.999999996</v>
      </c>
      <c r="BG22" s="58">
        <f>('LCOE parameters'!$B$38*Assumptions!$B$17)*('LCOE parameters'!$B$23*Assumptions!$B$4)</f>
        <v>20540831.999999996</v>
      </c>
      <c r="BH22" s="58">
        <f>('LCOE parameters'!$B$38*Assumptions!$B$17)*('LCOE parameters'!$B$23*Assumptions!$B$4)</f>
        <v>20540831.999999996</v>
      </c>
      <c r="BI22" s="58">
        <f>('LCOE parameters'!$B$38*Assumptions!$B$17)*('LCOE parameters'!$B$23*Assumptions!$B$4)</f>
        <v>20540831.999999996</v>
      </c>
      <c r="BJ22" s="58">
        <f>('LCOE parameters'!$B$38*Assumptions!$B$17)*('LCOE parameters'!$B$23*Assumptions!$B$4)</f>
        <v>20540831.999999996</v>
      </c>
      <c r="BK22" s="58">
        <f>('LCOE parameters'!$B$38*Assumptions!$B$17)*('LCOE parameters'!$B$23*Assumptions!$B$4)</f>
        <v>20540831.999999996</v>
      </c>
      <c r="BL22" s="58">
        <f>('LCOE parameters'!$B$38*Assumptions!$B$17)*('LCOE parameters'!$B$23*Assumptions!$B$4)</f>
        <v>20540831.999999996</v>
      </c>
      <c r="BM22" s="58">
        <f>('LCOE parameters'!$B$38*Assumptions!$B$17)*('LCOE parameters'!$B$23*Assumptions!$B$4)</f>
        <v>20540831.999999996</v>
      </c>
      <c r="BN22" s="58">
        <f>('LCOE parameters'!$B$38*Assumptions!$B$17)*('LCOE parameters'!$B$23*Assumptions!$B$4)</f>
        <v>20540831.999999996</v>
      </c>
      <c r="BO22" s="58">
        <f>('LCOE parameters'!$B$38*Assumptions!$B$17)*('LCOE parameters'!$B$23*Assumptions!$B$4)</f>
        <v>20540831.999999996</v>
      </c>
      <c r="BP22" s="58">
        <f>('LCOE parameters'!$B$38*Assumptions!$B$17)*('LCOE parameters'!$B$23*Assumptions!$B$4)</f>
        <v>20540831.999999996</v>
      </c>
    </row>
    <row r="23" spans="1:68">
      <c r="A23" s="58" t="s">
        <v>209</v>
      </c>
      <c r="B23" s="58">
        <f>'LCOE parameters'!$B$23*'LCOE parameters'!$B$24*'LCOE parameters'!$B$49*'LCOE parameters'!$B$50</f>
        <v>104515361.90913989</v>
      </c>
      <c r="C23" s="58">
        <f>'LCOE parameters'!$B$23*'LCOE parameters'!$B$24*'LCOE parameters'!$B$49*'LCOE parameters'!$B$50</f>
        <v>104515361.90913989</v>
      </c>
      <c r="D23" s="58">
        <f>'LCOE parameters'!$B$23*'LCOE parameters'!$B$24*'LCOE parameters'!$B$49*'LCOE parameters'!$B$50</f>
        <v>104515361.90913989</v>
      </c>
      <c r="E23" s="58">
        <f>'LCOE parameters'!$B$23*'LCOE parameters'!$B$24*'LCOE parameters'!$B$49*'LCOE parameters'!$B$50</f>
        <v>104515361.90913989</v>
      </c>
      <c r="F23" s="58">
        <f>'LCOE parameters'!$B$23*'LCOE parameters'!$B$24*'LCOE parameters'!$B$49*'LCOE parameters'!$B$50</f>
        <v>104515361.90913989</v>
      </c>
      <c r="G23" s="58">
        <f>'LCOE parameters'!$B$23*'LCOE parameters'!$B$24*'LCOE parameters'!$B$49*'LCOE parameters'!$B$50</f>
        <v>104515361.90913989</v>
      </c>
      <c r="H23" s="58">
        <f>'LCOE parameters'!$B$23*'LCOE parameters'!$B$24*'LCOE parameters'!$B$49*'LCOE parameters'!$B$50</f>
        <v>104515361.90913989</v>
      </c>
    </row>
    <row r="24" spans="1:68">
      <c r="A24" s="58" t="s">
        <v>210</v>
      </c>
      <c r="B24" s="58">
        <f>'LCOE parameters'!$B$49*'LCOE parameters'!$B$53*'LCOE parameters'!$B$42*'LCOE parameters'!$B$23*'LCOE parameters'!$B$24/'LCOE parameters'!$B$41</f>
        <v>64182857.142857142</v>
      </c>
      <c r="C24" s="58">
        <f>'LCOE parameters'!$B$49*'LCOE parameters'!$B$53*'LCOE parameters'!$B$42*'LCOE parameters'!$B$23*'LCOE parameters'!$B$24/'LCOE parameters'!$B$41</f>
        <v>64182857.142857142</v>
      </c>
      <c r="D24" s="58">
        <f>'LCOE parameters'!$B$49*'LCOE parameters'!$B$53*'LCOE parameters'!$B$42*'LCOE parameters'!$B$23*'LCOE parameters'!$B$24/'LCOE parameters'!$B$41</f>
        <v>64182857.142857142</v>
      </c>
      <c r="E24" s="58">
        <f>'LCOE parameters'!$B$49*'LCOE parameters'!$B$53*'LCOE parameters'!$B$42*'LCOE parameters'!$B$23*'LCOE parameters'!$B$24/'LCOE parameters'!$B$41</f>
        <v>64182857.142857142</v>
      </c>
      <c r="F24" s="58">
        <f>'LCOE parameters'!$B$49*'LCOE parameters'!$B$53*'LCOE parameters'!$B$42*'LCOE parameters'!$B$23*'LCOE parameters'!$B$24/'LCOE parameters'!$B$41</f>
        <v>64182857.142857142</v>
      </c>
      <c r="G24" s="58">
        <f>'LCOE parameters'!$B$49*'LCOE parameters'!$B$53*'LCOE parameters'!$B$42*'LCOE parameters'!$B$23*'LCOE parameters'!$B$24/'LCOE parameters'!$B$41</f>
        <v>64182857.142857142</v>
      </c>
      <c r="H24" s="58">
        <f>'LCOE parameters'!$B$49*'LCOE parameters'!$B$53*'LCOE parameters'!$B$42*'LCOE parameters'!$B$23*'LCOE parameters'!$B$24/'LCOE parameters'!$B$41</f>
        <v>64182857.142857142</v>
      </c>
    </row>
    <row r="25" spans="1:68">
      <c r="A25" s="58" t="s">
        <v>149</v>
      </c>
      <c r="B25" s="58">
        <v>0</v>
      </c>
      <c r="C25" s="58">
        <v>0</v>
      </c>
      <c r="D25" s="58">
        <v>0</v>
      </c>
      <c r="E25" s="58">
        <v>0</v>
      </c>
      <c r="F25" s="58">
        <v>0</v>
      </c>
      <c r="G25" s="58">
        <v>0</v>
      </c>
      <c r="H25" s="58">
        <v>0</v>
      </c>
      <c r="I25" s="58">
        <f>('LCOE parameters'!$B$24*Assumptions!$B$6)*('LCOE parameters'!$B$23*Assumptions!$B$4)</f>
        <v>12480000</v>
      </c>
      <c r="J25" s="58">
        <f>('LCOE parameters'!$B$24*Assumptions!$B$6)*('LCOE parameters'!$B$23*Assumptions!$B$4)</f>
        <v>12480000</v>
      </c>
      <c r="K25" s="58">
        <f>('LCOE parameters'!$B$24*Assumptions!$B$6)*('LCOE parameters'!$B$23*Assumptions!$B$4)</f>
        <v>12480000</v>
      </c>
      <c r="L25" s="58">
        <f>('LCOE parameters'!$B$24*Assumptions!$B$6)*('LCOE parameters'!$B$23*Assumptions!$B$4)</f>
        <v>12480000</v>
      </c>
      <c r="M25" s="58">
        <f>('LCOE parameters'!$B$24*Assumptions!$B$6)*('LCOE parameters'!$B$23*Assumptions!$B$4)</f>
        <v>12480000</v>
      </c>
      <c r="N25" s="58">
        <f>('LCOE parameters'!$B$24*Assumptions!$B$6)*('LCOE parameters'!$B$23*Assumptions!$B$4)</f>
        <v>12480000</v>
      </c>
      <c r="O25" s="58">
        <f>('LCOE parameters'!$B$24*Assumptions!$B$6)*('LCOE parameters'!$B$23*Assumptions!$B$4)</f>
        <v>12480000</v>
      </c>
      <c r="P25" s="58">
        <f>('LCOE parameters'!$B$24*Assumptions!$B$6)*('LCOE parameters'!$B$23*Assumptions!$B$4)</f>
        <v>12480000</v>
      </c>
      <c r="Q25" s="58">
        <f>('LCOE parameters'!$B$24*Assumptions!$B$6)*('LCOE parameters'!$B$23*Assumptions!$B$4)</f>
        <v>12480000</v>
      </c>
      <c r="R25" s="58">
        <f>('LCOE parameters'!$B$24*Assumptions!$B$6)*('LCOE parameters'!$B$23*Assumptions!$B$4)</f>
        <v>12480000</v>
      </c>
      <c r="S25" s="58">
        <f>('LCOE parameters'!$B$24*Assumptions!$B$6)*('LCOE parameters'!$B$23*Assumptions!$B$4)</f>
        <v>12480000</v>
      </c>
      <c r="T25" s="58">
        <f>('LCOE parameters'!$B$24*Assumptions!$B$6)*('LCOE parameters'!$B$23*Assumptions!$B$4)</f>
        <v>12480000</v>
      </c>
      <c r="U25" s="58">
        <f>('LCOE parameters'!$B$24*Assumptions!$B$6)*('LCOE parameters'!$B$23*Assumptions!$B$4)</f>
        <v>12480000</v>
      </c>
      <c r="V25" s="58">
        <f>('LCOE parameters'!$B$24*Assumptions!$B$6)*('LCOE parameters'!$B$23*Assumptions!$B$4)</f>
        <v>12480000</v>
      </c>
      <c r="W25" s="58">
        <f>('LCOE parameters'!$B$24*Assumptions!$B$6)*('LCOE parameters'!$B$23*Assumptions!$B$4)</f>
        <v>12480000</v>
      </c>
      <c r="X25" s="58">
        <f>('LCOE parameters'!$B$24*Assumptions!$B$6)*('LCOE parameters'!$B$23*Assumptions!$B$4)</f>
        <v>12480000</v>
      </c>
      <c r="Y25" s="58">
        <f>('LCOE parameters'!$B$24*Assumptions!$B$6)*('LCOE parameters'!$B$23*Assumptions!$B$4)</f>
        <v>12480000</v>
      </c>
      <c r="Z25" s="58">
        <f>('LCOE parameters'!$B$24*Assumptions!$B$6)*('LCOE parameters'!$B$23*Assumptions!$B$4)</f>
        <v>12480000</v>
      </c>
      <c r="AA25" s="58">
        <f>('LCOE parameters'!$B$24*Assumptions!$B$6)*('LCOE parameters'!$B$23*Assumptions!$B$4)</f>
        <v>12480000</v>
      </c>
      <c r="AB25" s="58">
        <f>('LCOE parameters'!$B$24*Assumptions!$B$6)*('LCOE parameters'!$B$23*Assumptions!$B$4)</f>
        <v>12480000</v>
      </c>
      <c r="AC25" s="58">
        <f>('LCOE parameters'!$B$24*Assumptions!$B$6)*('LCOE parameters'!$B$23*Assumptions!$B$4)</f>
        <v>12480000</v>
      </c>
      <c r="AD25" s="58">
        <f>('LCOE parameters'!$B$24*Assumptions!$B$6)*('LCOE parameters'!$B$23*Assumptions!$B$4)</f>
        <v>12480000</v>
      </c>
      <c r="AE25" s="58">
        <f>('LCOE parameters'!$B$24*Assumptions!$B$6)*('LCOE parameters'!$B$23*Assumptions!$B$4)</f>
        <v>12480000</v>
      </c>
      <c r="AF25" s="58">
        <f>('LCOE parameters'!$B$24*Assumptions!$B$6)*('LCOE parameters'!$B$23*Assumptions!$B$4)</f>
        <v>12480000</v>
      </c>
      <c r="AG25" s="58">
        <f>('LCOE parameters'!$B$24*Assumptions!$B$6)*('LCOE parameters'!$B$23*Assumptions!$B$4)</f>
        <v>12480000</v>
      </c>
      <c r="AH25" s="58">
        <f>('LCOE parameters'!$B$24*Assumptions!$B$6)*('LCOE parameters'!$B$23*Assumptions!$B$4)</f>
        <v>12480000</v>
      </c>
      <c r="AI25" s="58">
        <f>('LCOE parameters'!$B$24*Assumptions!$B$6)*('LCOE parameters'!$B$23*Assumptions!$B$4)</f>
        <v>12480000</v>
      </c>
      <c r="AJ25" s="58">
        <f>('LCOE parameters'!$B$24*Assumptions!$B$6)*('LCOE parameters'!$B$23*Assumptions!$B$4)</f>
        <v>12480000</v>
      </c>
      <c r="AK25" s="58">
        <f>('LCOE parameters'!$B$24*Assumptions!$B$6)*('LCOE parameters'!$B$23*Assumptions!$B$4)</f>
        <v>12480000</v>
      </c>
      <c r="AL25" s="58">
        <f>('LCOE parameters'!$B$24*Assumptions!$B$6)*('LCOE parameters'!$B$23*Assumptions!$B$4)</f>
        <v>12480000</v>
      </c>
      <c r="AM25" s="58">
        <f>('LCOE parameters'!$B$24*Assumptions!$B$6)*('LCOE parameters'!$B$23*Assumptions!$B$4)</f>
        <v>12480000</v>
      </c>
      <c r="AN25" s="58">
        <f>('LCOE parameters'!$B$24*Assumptions!$B$6)*('LCOE parameters'!$B$23*Assumptions!$B$4)</f>
        <v>12480000</v>
      </c>
      <c r="AO25" s="58">
        <f>('LCOE parameters'!$B$24*Assumptions!$B$6)*('LCOE parameters'!$B$23*Assumptions!$B$4)</f>
        <v>12480000</v>
      </c>
      <c r="AP25" s="58">
        <f>('LCOE parameters'!$B$24*Assumptions!$B$6)*('LCOE parameters'!$B$23*Assumptions!$B$4)</f>
        <v>12480000</v>
      </c>
      <c r="AQ25" s="58">
        <f>('LCOE parameters'!$B$24*Assumptions!$B$6)*('LCOE parameters'!$B$23*Assumptions!$B$4)</f>
        <v>12480000</v>
      </c>
      <c r="AR25" s="58">
        <f>('LCOE parameters'!$B$24*Assumptions!$B$6)*('LCOE parameters'!$B$23*Assumptions!$B$4)</f>
        <v>12480000</v>
      </c>
      <c r="AS25" s="58">
        <f>('LCOE parameters'!$B$24*Assumptions!$B$6)*('LCOE parameters'!$B$23*Assumptions!$B$4)</f>
        <v>12480000</v>
      </c>
      <c r="AT25" s="58">
        <f>('LCOE parameters'!$B$24*Assumptions!$B$6)*('LCOE parameters'!$B$23*Assumptions!$B$4)</f>
        <v>12480000</v>
      </c>
      <c r="AU25" s="58">
        <f>('LCOE parameters'!$B$24*Assumptions!$B$6)*('LCOE parameters'!$B$23*Assumptions!$B$4)</f>
        <v>12480000</v>
      </c>
      <c r="AV25" s="58">
        <f>('LCOE parameters'!$B$24*Assumptions!$B$6)*('LCOE parameters'!$B$23*Assumptions!$B$4)</f>
        <v>12480000</v>
      </c>
      <c r="AW25" s="58">
        <f>('LCOE parameters'!$B$24*Assumptions!$B$6)*('LCOE parameters'!$B$23*Assumptions!$B$4)</f>
        <v>12480000</v>
      </c>
      <c r="AX25" s="58">
        <f>('LCOE parameters'!$B$24*Assumptions!$B$6)*('LCOE parameters'!$B$23*Assumptions!$B$4)</f>
        <v>12480000</v>
      </c>
      <c r="AY25" s="58">
        <f>('LCOE parameters'!$B$24*Assumptions!$B$6)*('LCOE parameters'!$B$23*Assumptions!$B$4)</f>
        <v>12480000</v>
      </c>
      <c r="AZ25" s="58">
        <f>('LCOE parameters'!$B$24*Assumptions!$B$6)*('LCOE parameters'!$B$23*Assumptions!$B$4)</f>
        <v>12480000</v>
      </c>
      <c r="BA25" s="58">
        <f>('LCOE parameters'!$B$24*Assumptions!$B$6)*('LCOE parameters'!$B$23*Assumptions!$B$4)</f>
        <v>12480000</v>
      </c>
      <c r="BB25" s="58">
        <f>('LCOE parameters'!$B$24*Assumptions!$B$6)*('LCOE parameters'!$B$23*Assumptions!$B$4)</f>
        <v>12480000</v>
      </c>
      <c r="BC25" s="58">
        <f>('LCOE parameters'!$B$24*Assumptions!$B$6)*('LCOE parameters'!$B$23*Assumptions!$B$4)</f>
        <v>12480000</v>
      </c>
      <c r="BD25" s="58">
        <f>('LCOE parameters'!$B$24*Assumptions!$B$6)*('LCOE parameters'!$B$23*Assumptions!$B$4)</f>
        <v>12480000</v>
      </c>
      <c r="BE25" s="58">
        <f>('LCOE parameters'!$B$24*Assumptions!$B$6)*('LCOE parameters'!$B$23*Assumptions!$B$4)</f>
        <v>12480000</v>
      </c>
      <c r="BF25" s="58">
        <f>('LCOE parameters'!$B$24*Assumptions!$B$6)*('LCOE parameters'!$B$23*Assumptions!$B$4)</f>
        <v>12480000</v>
      </c>
      <c r="BG25" s="58">
        <f>('LCOE parameters'!$B$24*Assumptions!$B$6)*('LCOE parameters'!$B$23*Assumptions!$B$4)</f>
        <v>12480000</v>
      </c>
      <c r="BH25" s="58">
        <f>('LCOE parameters'!$B$24*Assumptions!$B$6)*('LCOE parameters'!$B$23*Assumptions!$B$4)</f>
        <v>12480000</v>
      </c>
      <c r="BI25" s="58">
        <f>('LCOE parameters'!$B$24*Assumptions!$B$6)*('LCOE parameters'!$B$23*Assumptions!$B$4)</f>
        <v>12480000</v>
      </c>
      <c r="BJ25" s="58">
        <f>('LCOE parameters'!$B$24*Assumptions!$B$6)*('LCOE parameters'!$B$23*Assumptions!$B$4)</f>
        <v>12480000</v>
      </c>
      <c r="BK25" s="58">
        <f>('LCOE parameters'!$B$24*Assumptions!$B$6)*('LCOE parameters'!$B$23*Assumptions!$B$4)</f>
        <v>12480000</v>
      </c>
      <c r="BL25" s="58">
        <f>('LCOE parameters'!$B$24*Assumptions!$B$6)*('LCOE parameters'!$B$23*Assumptions!$B$4)</f>
        <v>12480000</v>
      </c>
      <c r="BM25" s="58">
        <f>('LCOE parameters'!$B$24*Assumptions!$B$6)*('LCOE parameters'!$B$23*Assumptions!$B$4)</f>
        <v>12480000</v>
      </c>
      <c r="BN25" s="58">
        <f>('LCOE parameters'!$B$24*Assumptions!$B$6)*('LCOE parameters'!$B$23*Assumptions!$B$4)</f>
        <v>12480000</v>
      </c>
      <c r="BO25" s="58">
        <f>('LCOE parameters'!$B$24*Assumptions!$B$6)*('LCOE parameters'!$B$23*Assumptions!$B$4)</f>
        <v>12480000</v>
      </c>
      <c r="BP25" s="58">
        <f>('LCOE parameters'!$B$24*Assumptions!$B$6)*('LCOE parameters'!$B$23*Assumptions!$B$4)</f>
        <v>12480000</v>
      </c>
    </row>
    <row r="26" spans="1:68">
      <c r="A26" s="58" t="s">
        <v>166</v>
      </c>
      <c r="B26" s="63">
        <f>('LCOE parameters'!$B$28*Assumptions!$B$10)</f>
        <v>7.0000000000000007E-2</v>
      </c>
      <c r="C26" s="63">
        <f>('LCOE parameters'!$B$28*Assumptions!$B$10)</f>
        <v>7.0000000000000007E-2</v>
      </c>
      <c r="D26" s="63">
        <f>('LCOE parameters'!$B$28*Assumptions!$B$10)</f>
        <v>7.0000000000000007E-2</v>
      </c>
      <c r="E26" s="63">
        <f>('LCOE parameters'!$B$28*Assumptions!$B$10)</f>
        <v>7.0000000000000007E-2</v>
      </c>
      <c r="F26" s="63">
        <f>('LCOE parameters'!$B$28*Assumptions!$B$10)</f>
        <v>7.0000000000000007E-2</v>
      </c>
      <c r="G26" s="63">
        <f>('LCOE parameters'!$B$28*Assumptions!$B$10)</f>
        <v>7.0000000000000007E-2</v>
      </c>
      <c r="H26" s="63">
        <f>('LCOE parameters'!$B$28*Assumptions!$B$10)</f>
        <v>7.0000000000000007E-2</v>
      </c>
      <c r="I26" s="63">
        <f>('LCOE parameters'!$B$28*Assumptions!$B$10)</f>
        <v>7.0000000000000007E-2</v>
      </c>
      <c r="J26" s="63">
        <f>('LCOE parameters'!$B$28*Assumptions!$B$10)</f>
        <v>7.0000000000000007E-2</v>
      </c>
      <c r="K26" s="63">
        <f>('LCOE parameters'!$B$28*Assumptions!$B$10)</f>
        <v>7.0000000000000007E-2</v>
      </c>
      <c r="L26" s="63">
        <f>('LCOE parameters'!$B$28*Assumptions!$B$10)</f>
        <v>7.0000000000000007E-2</v>
      </c>
      <c r="M26" s="63">
        <f>('LCOE parameters'!$B$28*Assumptions!$B$10)</f>
        <v>7.0000000000000007E-2</v>
      </c>
      <c r="N26" s="63">
        <f>('LCOE parameters'!$B$28*Assumptions!$B$10)</f>
        <v>7.0000000000000007E-2</v>
      </c>
      <c r="O26" s="63">
        <f>('LCOE parameters'!$B$28*Assumptions!$B$10)</f>
        <v>7.0000000000000007E-2</v>
      </c>
      <c r="P26" s="63">
        <f>('LCOE parameters'!$B$28*Assumptions!$B$10)</f>
        <v>7.0000000000000007E-2</v>
      </c>
      <c r="Q26" s="63">
        <f>('LCOE parameters'!$B$28*Assumptions!$B$10)</f>
        <v>7.0000000000000007E-2</v>
      </c>
      <c r="R26" s="63">
        <f>('LCOE parameters'!$B$28*Assumptions!$B$10)</f>
        <v>7.0000000000000007E-2</v>
      </c>
      <c r="S26" s="63">
        <f>('LCOE parameters'!$B$28*Assumptions!$B$10)</f>
        <v>7.0000000000000007E-2</v>
      </c>
      <c r="T26" s="63">
        <f>('LCOE parameters'!$B$28*Assumptions!$B$10)</f>
        <v>7.0000000000000007E-2</v>
      </c>
      <c r="U26" s="63">
        <f>('LCOE parameters'!$B$28*Assumptions!$B$10)</f>
        <v>7.0000000000000007E-2</v>
      </c>
      <c r="V26" s="63">
        <f>('LCOE parameters'!$B$28*Assumptions!$B$10)</f>
        <v>7.0000000000000007E-2</v>
      </c>
      <c r="W26" s="63">
        <f>('LCOE parameters'!$B$28*Assumptions!$B$10)</f>
        <v>7.0000000000000007E-2</v>
      </c>
      <c r="X26" s="63">
        <f>('LCOE parameters'!$B$28*Assumptions!$B$10)</f>
        <v>7.0000000000000007E-2</v>
      </c>
      <c r="Y26" s="63">
        <f>('LCOE parameters'!$B$28*Assumptions!$B$10)</f>
        <v>7.0000000000000007E-2</v>
      </c>
      <c r="Z26" s="63">
        <f>('LCOE parameters'!$B$28*Assumptions!$B$10)</f>
        <v>7.0000000000000007E-2</v>
      </c>
      <c r="AA26" s="63">
        <f>('LCOE parameters'!$B$28*Assumptions!$B$10)</f>
        <v>7.0000000000000007E-2</v>
      </c>
      <c r="AB26" s="63">
        <f>('LCOE parameters'!$B$28*Assumptions!$B$10)</f>
        <v>7.0000000000000007E-2</v>
      </c>
      <c r="AC26" s="63">
        <f>('LCOE parameters'!$B$28*Assumptions!$B$10)</f>
        <v>7.0000000000000007E-2</v>
      </c>
      <c r="AD26" s="63">
        <f>('LCOE parameters'!$B$28*Assumptions!$B$10)</f>
        <v>7.0000000000000007E-2</v>
      </c>
      <c r="AE26" s="63">
        <f>('LCOE parameters'!$B$28*Assumptions!$B$10)</f>
        <v>7.0000000000000007E-2</v>
      </c>
      <c r="AF26" s="63">
        <f>('LCOE parameters'!$B$28*Assumptions!$B$10)</f>
        <v>7.0000000000000007E-2</v>
      </c>
      <c r="AG26" s="63">
        <f>('LCOE parameters'!$B$28*Assumptions!$B$10)</f>
        <v>7.0000000000000007E-2</v>
      </c>
      <c r="AH26" s="63">
        <f>('LCOE parameters'!$B$28*Assumptions!$B$10)</f>
        <v>7.0000000000000007E-2</v>
      </c>
      <c r="AI26" s="63">
        <f>('LCOE parameters'!$B$28*Assumptions!$B$10)</f>
        <v>7.0000000000000007E-2</v>
      </c>
      <c r="AJ26" s="63">
        <f>('LCOE parameters'!$B$28*Assumptions!$B$10)</f>
        <v>7.0000000000000007E-2</v>
      </c>
      <c r="AK26" s="63">
        <f>('LCOE parameters'!$B$28*Assumptions!$B$10)</f>
        <v>7.0000000000000007E-2</v>
      </c>
      <c r="AL26" s="63">
        <f>('LCOE parameters'!$B$28*Assumptions!$B$10)</f>
        <v>7.0000000000000007E-2</v>
      </c>
      <c r="AM26" s="63">
        <f>('LCOE parameters'!$B$28*Assumptions!$B$10)</f>
        <v>7.0000000000000007E-2</v>
      </c>
      <c r="AN26" s="63">
        <f>('LCOE parameters'!$B$28*Assumptions!$B$10)</f>
        <v>7.0000000000000007E-2</v>
      </c>
      <c r="AO26" s="63">
        <f>('LCOE parameters'!$B$28*Assumptions!$B$10)</f>
        <v>7.0000000000000007E-2</v>
      </c>
      <c r="AP26" s="63">
        <f>('LCOE parameters'!$B$28*Assumptions!$B$10)</f>
        <v>7.0000000000000007E-2</v>
      </c>
      <c r="AQ26" s="63">
        <f>('LCOE parameters'!$B$28*Assumptions!$B$10)</f>
        <v>7.0000000000000007E-2</v>
      </c>
      <c r="AR26" s="63">
        <f>('LCOE parameters'!$B$28*Assumptions!$B$10)</f>
        <v>7.0000000000000007E-2</v>
      </c>
      <c r="AS26" s="63">
        <f>('LCOE parameters'!$B$28*Assumptions!$B$10)</f>
        <v>7.0000000000000007E-2</v>
      </c>
      <c r="AT26" s="63">
        <f>('LCOE parameters'!$B$28*Assumptions!$B$10)</f>
        <v>7.0000000000000007E-2</v>
      </c>
      <c r="AU26" s="63">
        <f>('LCOE parameters'!$B$28*Assumptions!$B$10)</f>
        <v>7.0000000000000007E-2</v>
      </c>
      <c r="AV26" s="63">
        <f>('LCOE parameters'!$B$28*Assumptions!$B$10)</f>
        <v>7.0000000000000007E-2</v>
      </c>
      <c r="AW26" s="63">
        <f>('LCOE parameters'!$B$28*Assumptions!$B$10)</f>
        <v>7.0000000000000007E-2</v>
      </c>
      <c r="AX26" s="63">
        <f>('LCOE parameters'!$B$28*Assumptions!$B$10)</f>
        <v>7.0000000000000007E-2</v>
      </c>
      <c r="AY26" s="63">
        <f>('LCOE parameters'!$B$28*Assumptions!$B$10)</f>
        <v>7.0000000000000007E-2</v>
      </c>
      <c r="AZ26" s="63">
        <f>('LCOE parameters'!$B$28*Assumptions!$B$10)</f>
        <v>7.0000000000000007E-2</v>
      </c>
      <c r="BA26" s="63">
        <f>('LCOE parameters'!$B$28*Assumptions!$B$10)</f>
        <v>7.0000000000000007E-2</v>
      </c>
      <c r="BB26" s="63">
        <f>('LCOE parameters'!$B$28*Assumptions!$B$10)</f>
        <v>7.0000000000000007E-2</v>
      </c>
      <c r="BC26" s="63">
        <f>('LCOE parameters'!$B$28*Assumptions!$B$10)</f>
        <v>7.0000000000000007E-2</v>
      </c>
      <c r="BD26" s="63">
        <f>('LCOE parameters'!$B$28*Assumptions!$B$10)</f>
        <v>7.0000000000000007E-2</v>
      </c>
      <c r="BE26" s="63">
        <f>('LCOE parameters'!$B$28*Assumptions!$B$10)</f>
        <v>7.0000000000000007E-2</v>
      </c>
      <c r="BF26" s="63">
        <f>('LCOE parameters'!$B$28*Assumptions!$B$10)</f>
        <v>7.0000000000000007E-2</v>
      </c>
      <c r="BG26" s="63">
        <f>('LCOE parameters'!$B$28*Assumptions!$B$10)</f>
        <v>7.0000000000000007E-2</v>
      </c>
      <c r="BH26" s="63">
        <f>('LCOE parameters'!$B$28*Assumptions!$B$10)</f>
        <v>7.0000000000000007E-2</v>
      </c>
      <c r="BI26" s="63">
        <f>('LCOE parameters'!$B$28*Assumptions!$B$10)</f>
        <v>7.0000000000000007E-2</v>
      </c>
      <c r="BJ26" s="63">
        <f>('LCOE parameters'!$B$28*Assumptions!$B$10)</f>
        <v>7.0000000000000007E-2</v>
      </c>
      <c r="BK26" s="63">
        <f>('LCOE parameters'!$B$28*Assumptions!$B$10)</f>
        <v>7.0000000000000007E-2</v>
      </c>
      <c r="BL26" s="63">
        <f>('LCOE parameters'!$B$28*Assumptions!$B$10)</f>
        <v>7.0000000000000007E-2</v>
      </c>
      <c r="BM26" s="63">
        <f>('LCOE parameters'!$B$28*Assumptions!$B$10)</f>
        <v>7.0000000000000007E-2</v>
      </c>
      <c r="BN26" s="63">
        <f>('LCOE parameters'!$B$28*Assumptions!$B$10)</f>
        <v>7.0000000000000007E-2</v>
      </c>
      <c r="BO26" s="63">
        <f>('LCOE parameters'!$B$28*Assumptions!$B$10)</f>
        <v>7.0000000000000007E-2</v>
      </c>
      <c r="BP26" s="63">
        <f>('LCOE parameters'!$B$28*Assumptions!$B$10)</f>
        <v>7.0000000000000007E-2</v>
      </c>
    </row>
    <row r="27" spans="1:68">
      <c r="A27" s="58" t="s">
        <v>173</v>
      </c>
      <c r="B27" s="63">
        <f>('LCOE parameters'!$B$29*Assumptions!$B$11)</f>
        <v>7.0000000000000007E-2</v>
      </c>
      <c r="C27" s="63">
        <f>('LCOE parameters'!$B$29*Assumptions!$B$11)</f>
        <v>7.0000000000000007E-2</v>
      </c>
      <c r="D27" s="63">
        <f>('LCOE parameters'!$B$29*Assumptions!$B$11)</f>
        <v>7.0000000000000007E-2</v>
      </c>
      <c r="E27" s="63">
        <f>('LCOE parameters'!$B$29*Assumptions!$B$11)</f>
        <v>7.0000000000000007E-2</v>
      </c>
      <c r="F27" s="63">
        <f>('LCOE parameters'!$B$29*Assumptions!$B$11)</f>
        <v>7.0000000000000007E-2</v>
      </c>
      <c r="G27" s="63">
        <f>('LCOE parameters'!$B$29*Assumptions!$B$11)</f>
        <v>7.0000000000000007E-2</v>
      </c>
      <c r="H27" s="63">
        <f>('LCOE parameters'!$B$29*Assumptions!$B$11)</f>
        <v>7.0000000000000007E-2</v>
      </c>
      <c r="I27" s="63">
        <f>('LCOE parameters'!$B$29*Assumptions!$B$11)</f>
        <v>7.0000000000000007E-2</v>
      </c>
      <c r="J27" s="63">
        <f>('LCOE parameters'!$B$29*Assumptions!$B$11)</f>
        <v>7.0000000000000007E-2</v>
      </c>
      <c r="K27" s="63">
        <f>('LCOE parameters'!$B$29*Assumptions!$B$11)</f>
        <v>7.0000000000000007E-2</v>
      </c>
      <c r="L27" s="63">
        <f>('LCOE parameters'!$B$29*Assumptions!$B$11)</f>
        <v>7.0000000000000007E-2</v>
      </c>
      <c r="M27" s="63">
        <f>('LCOE parameters'!$B$29*Assumptions!$B$11)</f>
        <v>7.0000000000000007E-2</v>
      </c>
      <c r="N27" s="63">
        <f>('LCOE parameters'!$B$29*Assumptions!$B$11)</f>
        <v>7.0000000000000007E-2</v>
      </c>
      <c r="O27" s="63">
        <f>('LCOE parameters'!$B$29*Assumptions!$B$11)</f>
        <v>7.0000000000000007E-2</v>
      </c>
      <c r="P27" s="63">
        <f>('LCOE parameters'!$B$29*Assumptions!$B$11)</f>
        <v>7.0000000000000007E-2</v>
      </c>
      <c r="Q27" s="63">
        <f>('LCOE parameters'!$B$29*Assumptions!$B$11)</f>
        <v>7.0000000000000007E-2</v>
      </c>
      <c r="R27" s="63">
        <f>('LCOE parameters'!$B$29*Assumptions!$B$11)</f>
        <v>7.0000000000000007E-2</v>
      </c>
      <c r="S27" s="63">
        <f>('LCOE parameters'!$B$29*Assumptions!$B$11)</f>
        <v>7.0000000000000007E-2</v>
      </c>
      <c r="T27" s="63">
        <f>('LCOE parameters'!$B$29*Assumptions!$B$11)</f>
        <v>7.0000000000000007E-2</v>
      </c>
      <c r="U27" s="63">
        <f>('LCOE parameters'!$B$29*Assumptions!$B$11)</f>
        <v>7.0000000000000007E-2</v>
      </c>
      <c r="V27" s="63">
        <f>('LCOE parameters'!$B$29*Assumptions!$B$11)</f>
        <v>7.0000000000000007E-2</v>
      </c>
      <c r="W27" s="63">
        <f>('LCOE parameters'!$B$29*Assumptions!$B$11)</f>
        <v>7.0000000000000007E-2</v>
      </c>
      <c r="X27" s="63">
        <f>('LCOE parameters'!$B$29*Assumptions!$B$11)</f>
        <v>7.0000000000000007E-2</v>
      </c>
      <c r="Y27" s="63">
        <f>('LCOE parameters'!$B$29*Assumptions!$B$11)</f>
        <v>7.0000000000000007E-2</v>
      </c>
      <c r="Z27" s="63">
        <f>('LCOE parameters'!$B$29*Assumptions!$B$11)</f>
        <v>7.0000000000000007E-2</v>
      </c>
      <c r="AA27" s="63">
        <f>('LCOE parameters'!$B$29*Assumptions!$B$11)</f>
        <v>7.0000000000000007E-2</v>
      </c>
      <c r="AB27" s="63">
        <f>('LCOE parameters'!$B$29*Assumptions!$B$11)</f>
        <v>7.0000000000000007E-2</v>
      </c>
      <c r="AC27" s="63">
        <f>('LCOE parameters'!$B$29*Assumptions!$B$11)</f>
        <v>7.0000000000000007E-2</v>
      </c>
      <c r="AD27" s="63">
        <f>('LCOE parameters'!$B$29*Assumptions!$B$11)</f>
        <v>7.0000000000000007E-2</v>
      </c>
      <c r="AE27" s="63">
        <f>('LCOE parameters'!$B$29*Assumptions!$B$11)</f>
        <v>7.0000000000000007E-2</v>
      </c>
      <c r="AF27" s="63">
        <f>('LCOE parameters'!$B$29*Assumptions!$B$11)</f>
        <v>7.0000000000000007E-2</v>
      </c>
      <c r="AG27" s="63">
        <f>('LCOE parameters'!$B$29*Assumptions!$B$11)</f>
        <v>7.0000000000000007E-2</v>
      </c>
      <c r="AH27" s="63">
        <f>('LCOE parameters'!$B$29*Assumptions!$B$11)</f>
        <v>7.0000000000000007E-2</v>
      </c>
      <c r="AI27" s="63">
        <f>('LCOE parameters'!$B$29*Assumptions!$B$11)</f>
        <v>7.0000000000000007E-2</v>
      </c>
      <c r="AJ27" s="63">
        <f>('LCOE parameters'!$B$29*Assumptions!$B$11)</f>
        <v>7.0000000000000007E-2</v>
      </c>
      <c r="AK27" s="63">
        <f>('LCOE parameters'!$B$29*Assumptions!$B$11)</f>
        <v>7.0000000000000007E-2</v>
      </c>
      <c r="AL27" s="63">
        <f>('LCOE parameters'!$B$29*Assumptions!$B$11)</f>
        <v>7.0000000000000007E-2</v>
      </c>
      <c r="AM27" s="63">
        <f>('LCOE parameters'!$B$29*Assumptions!$B$11)</f>
        <v>7.0000000000000007E-2</v>
      </c>
      <c r="AN27" s="63">
        <f>('LCOE parameters'!$B$29*Assumptions!$B$11)</f>
        <v>7.0000000000000007E-2</v>
      </c>
      <c r="AO27" s="63">
        <f>('LCOE parameters'!$B$29*Assumptions!$B$11)</f>
        <v>7.0000000000000007E-2</v>
      </c>
      <c r="AP27" s="63">
        <f>('LCOE parameters'!$B$29*Assumptions!$B$11)</f>
        <v>7.0000000000000007E-2</v>
      </c>
      <c r="AQ27" s="63">
        <f>('LCOE parameters'!$B$29*Assumptions!$B$11)</f>
        <v>7.0000000000000007E-2</v>
      </c>
      <c r="AR27" s="63">
        <f>('LCOE parameters'!$B$29*Assumptions!$B$11)</f>
        <v>7.0000000000000007E-2</v>
      </c>
      <c r="AS27" s="63">
        <f>('LCOE parameters'!$B$29*Assumptions!$B$11)</f>
        <v>7.0000000000000007E-2</v>
      </c>
      <c r="AT27" s="63">
        <f>('LCOE parameters'!$B$29*Assumptions!$B$11)</f>
        <v>7.0000000000000007E-2</v>
      </c>
      <c r="AU27" s="63">
        <f>('LCOE parameters'!$B$29*Assumptions!$B$11)</f>
        <v>7.0000000000000007E-2</v>
      </c>
      <c r="AV27" s="63">
        <f>('LCOE parameters'!$B$29*Assumptions!$B$11)</f>
        <v>7.0000000000000007E-2</v>
      </c>
      <c r="AW27" s="63">
        <f>('LCOE parameters'!$B$29*Assumptions!$B$11)</f>
        <v>7.0000000000000007E-2</v>
      </c>
      <c r="AX27" s="63">
        <f>('LCOE parameters'!$B$29*Assumptions!$B$11)</f>
        <v>7.0000000000000007E-2</v>
      </c>
      <c r="AY27" s="63">
        <f>('LCOE parameters'!$B$29*Assumptions!$B$11)</f>
        <v>7.0000000000000007E-2</v>
      </c>
      <c r="AZ27" s="63">
        <f>('LCOE parameters'!$B$29*Assumptions!$B$11)</f>
        <v>7.0000000000000007E-2</v>
      </c>
      <c r="BA27" s="63">
        <f>('LCOE parameters'!$B$29*Assumptions!$B$11)</f>
        <v>7.0000000000000007E-2</v>
      </c>
      <c r="BB27" s="63">
        <f>('LCOE parameters'!$B$29*Assumptions!$B$11)</f>
        <v>7.0000000000000007E-2</v>
      </c>
      <c r="BC27" s="63">
        <f>('LCOE parameters'!$B$29*Assumptions!$B$11)</f>
        <v>7.0000000000000007E-2</v>
      </c>
      <c r="BD27" s="63">
        <f>('LCOE parameters'!$B$29*Assumptions!$B$11)</f>
        <v>7.0000000000000007E-2</v>
      </c>
      <c r="BE27" s="63">
        <f>('LCOE parameters'!$B$29*Assumptions!$B$11)</f>
        <v>7.0000000000000007E-2</v>
      </c>
      <c r="BF27" s="63">
        <f>('LCOE parameters'!$B$29*Assumptions!$B$11)</f>
        <v>7.0000000000000007E-2</v>
      </c>
      <c r="BG27" s="63">
        <f>('LCOE parameters'!$B$29*Assumptions!$B$11)</f>
        <v>7.0000000000000007E-2</v>
      </c>
      <c r="BH27" s="63">
        <f>('LCOE parameters'!$B$29*Assumptions!$B$11)</f>
        <v>7.0000000000000007E-2</v>
      </c>
      <c r="BI27" s="63">
        <f>('LCOE parameters'!$B$29*Assumptions!$B$11)</f>
        <v>7.0000000000000007E-2</v>
      </c>
      <c r="BJ27" s="63">
        <f>('LCOE parameters'!$B$29*Assumptions!$B$11)</f>
        <v>7.0000000000000007E-2</v>
      </c>
      <c r="BK27" s="63">
        <f>('LCOE parameters'!$B$29*Assumptions!$B$11)</f>
        <v>7.0000000000000007E-2</v>
      </c>
      <c r="BL27" s="63">
        <f>('LCOE parameters'!$B$29*Assumptions!$B$11)</f>
        <v>7.0000000000000007E-2</v>
      </c>
      <c r="BM27" s="63">
        <f>('LCOE parameters'!$B$29*Assumptions!$B$11)</f>
        <v>7.0000000000000007E-2</v>
      </c>
      <c r="BN27" s="63">
        <f>('LCOE parameters'!$B$29*Assumptions!$B$11)</f>
        <v>7.0000000000000007E-2</v>
      </c>
      <c r="BO27" s="63">
        <f>('LCOE parameters'!$B$29*Assumptions!$B$11)</f>
        <v>7.0000000000000007E-2</v>
      </c>
      <c r="BP27" s="63">
        <f>('LCOE parameters'!$B$29*Assumptions!$B$11)</f>
        <v>7.0000000000000007E-2</v>
      </c>
    </row>
    <row r="28" spans="1:68">
      <c r="A28" s="58" t="s">
        <v>151</v>
      </c>
      <c r="B28" s="58">
        <f>'LCOE parameters'!$B$42</f>
        <v>60</v>
      </c>
      <c r="C28" s="58">
        <f>'LCOE parameters'!$B$42</f>
        <v>60</v>
      </c>
      <c r="D28" s="58">
        <f>'LCOE parameters'!$B$42</f>
        <v>60</v>
      </c>
      <c r="E28" s="58">
        <f>'LCOE parameters'!$B$42</f>
        <v>60</v>
      </c>
      <c r="F28" s="58">
        <f>'LCOE parameters'!$B$42</f>
        <v>60</v>
      </c>
      <c r="G28" s="58">
        <f>'LCOE parameters'!$B$42</f>
        <v>60</v>
      </c>
      <c r="H28" s="58">
        <f>'LCOE parameters'!$B$42</f>
        <v>60</v>
      </c>
      <c r="I28" s="58">
        <f>'LCOE parameters'!$B$42</f>
        <v>60</v>
      </c>
      <c r="J28" s="58">
        <f>'LCOE parameters'!$B$42</f>
        <v>60</v>
      </c>
      <c r="K28" s="58">
        <f>'LCOE parameters'!$B$42</f>
        <v>60</v>
      </c>
      <c r="L28" s="58">
        <f>'LCOE parameters'!$B$42</f>
        <v>60</v>
      </c>
      <c r="M28" s="58">
        <f>'LCOE parameters'!$B$42</f>
        <v>60</v>
      </c>
      <c r="N28" s="58">
        <f>'LCOE parameters'!$B$42</f>
        <v>60</v>
      </c>
      <c r="O28" s="58">
        <f>'LCOE parameters'!$B$42</f>
        <v>60</v>
      </c>
      <c r="P28" s="58">
        <f>'LCOE parameters'!$B$42</f>
        <v>60</v>
      </c>
      <c r="Q28" s="58">
        <f>'LCOE parameters'!$B$42</f>
        <v>60</v>
      </c>
      <c r="R28" s="58">
        <f>'LCOE parameters'!$B$42</f>
        <v>60</v>
      </c>
      <c r="S28" s="58">
        <f>'LCOE parameters'!$B$42</f>
        <v>60</v>
      </c>
      <c r="T28" s="58">
        <f>'LCOE parameters'!$B$42</f>
        <v>60</v>
      </c>
      <c r="U28" s="58">
        <f>'LCOE parameters'!$B$42</f>
        <v>60</v>
      </c>
      <c r="V28" s="58">
        <f>'LCOE parameters'!$B$42</f>
        <v>60</v>
      </c>
      <c r="W28" s="58">
        <f>'LCOE parameters'!$B$42</f>
        <v>60</v>
      </c>
      <c r="X28" s="58">
        <f>'LCOE parameters'!$B$42</f>
        <v>60</v>
      </c>
      <c r="Y28" s="58">
        <f>'LCOE parameters'!$B$42</f>
        <v>60</v>
      </c>
      <c r="Z28" s="58">
        <f>'LCOE parameters'!$B$42</f>
        <v>60</v>
      </c>
      <c r="AA28" s="58">
        <f>'LCOE parameters'!$B$42</f>
        <v>60</v>
      </c>
      <c r="AB28" s="58">
        <f>'LCOE parameters'!$B$42</f>
        <v>60</v>
      </c>
      <c r="AC28" s="58">
        <f>'LCOE parameters'!$B$42</f>
        <v>60</v>
      </c>
      <c r="AD28" s="58">
        <f>'LCOE parameters'!$B$42</f>
        <v>60</v>
      </c>
      <c r="AE28" s="58">
        <f>'LCOE parameters'!$B$42</f>
        <v>60</v>
      </c>
      <c r="AF28" s="58">
        <f>'LCOE parameters'!$B$42</f>
        <v>60</v>
      </c>
      <c r="AG28" s="58">
        <f>'LCOE parameters'!$B$42</f>
        <v>60</v>
      </c>
      <c r="AH28" s="58">
        <f>'LCOE parameters'!$B$42</f>
        <v>60</v>
      </c>
      <c r="AI28" s="58">
        <f>'LCOE parameters'!$B$42</f>
        <v>60</v>
      </c>
      <c r="AJ28" s="58">
        <f>'LCOE parameters'!$B$42</f>
        <v>60</v>
      </c>
      <c r="AK28" s="58">
        <f>'LCOE parameters'!$B$42</f>
        <v>60</v>
      </c>
      <c r="AL28" s="58">
        <f>'LCOE parameters'!$B$42</f>
        <v>60</v>
      </c>
      <c r="AM28" s="58">
        <f>'LCOE parameters'!$B$42</f>
        <v>60</v>
      </c>
      <c r="AN28" s="58">
        <f>'LCOE parameters'!$B$42</f>
        <v>60</v>
      </c>
      <c r="AO28" s="58">
        <f>'LCOE parameters'!$B$42</f>
        <v>60</v>
      </c>
      <c r="AP28" s="58">
        <f>'LCOE parameters'!$B$42</f>
        <v>60</v>
      </c>
      <c r="AQ28" s="58">
        <f>'LCOE parameters'!$B$42</f>
        <v>60</v>
      </c>
      <c r="AR28" s="58">
        <f>'LCOE parameters'!$B$42</f>
        <v>60</v>
      </c>
      <c r="AS28" s="58">
        <f>'LCOE parameters'!$B$42</f>
        <v>60</v>
      </c>
      <c r="AT28" s="58">
        <f>'LCOE parameters'!$B$42</f>
        <v>60</v>
      </c>
      <c r="AU28" s="58">
        <f>'LCOE parameters'!$B$42</f>
        <v>60</v>
      </c>
      <c r="AV28" s="58">
        <f>'LCOE parameters'!$B$42</f>
        <v>60</v>
      </c>
      <c r="AW28" s="58">
        <f>'LCOE parameters'!$B$42</f>
        <v>60</v>
      </c>
      <c r="AX28" s="58">
        <f>'LCOE parameters'!$B$42</f>
        <v>60</v>
      </c>
      <c r="AY28" s="58">
        <f>'LCOE parameters'!$B$42</f>
        <v>60</v>
      </c>
      <c r="AZ28" s="58">
        <f>'LCOE parameters'!$B$42</f>
        <v>60</v>
      </c>
      <c r="BA28" s="58">
        <f>'LCOE parameters'!$B$42</f>
        <v>60</v>
      </c>
      <c r="BB28" s="58">
        <f>'LCOE parameters'!$B$42</f>
        <v>60</v>
      </c>
      <c r="BC28" s="58">
        <f>'LCOE parameters'!$B$42</f>
        <v>60</v>
      </c>
      <c r="BD28" s="58">
        <f>'LCOE parameters'!$B$42</f>
        <v>60</v>
      </c>
      <c r="BE28" s="58">
        <f>'LCOE parameters'!$B$42</f>
        <v>60</v>
      </c>
      <c r="BF28" s="58">
        <f>'LCOE parameters'!$B$42</f>
        <v>60</v>
      </c>
      <c r="BG28" s="58">
        <f>'LCOE parameters'!$B$42</f>
        <v>60</v>
      </c>
      <c r="BH28" s="58">
        <f>'LCOE parameters'!$B$42</f>
        <v>60</v>
      </c>
      <c r="BI28" s="58">
        <f>'LCOE parameters'!$B$42</f>
        <v>60</v>
      </c>
      <c r="BJ28" s="58">
        <f>'LCOE parameters'!$B$42</f>
        <v>60</v>
      </c>
      <c r="BK28" s="58">
        <f>'LCOE parameters'!$B$42</f>
        <v>60</v>
      </c>
      <c r="BL28" s="58">
        <f>'LCOE parameters'!$B$42</f>
        <v>60</v>
      </c>
      <c r="BM28" s="58">
        <f>'LCOE parameters'!$B$42</f>
        <v>60</v>
      </c>
      <c r="BN28" s="58">
        <f>'LCOE parameters'!$B$42</f>
        <v>60</v>
      </c>
      <c r="BO28" s="58">
        <f>'LCOE parameters'!$B$42</f>
        <v>60</v>
      </c>
      <c r="BP28" s="58">
        <f>'LCOE parameters'!$B$42</f>
        <v>60</v>
      </c>
    </row>
    <row r="29" spans="1:68">
      <c r="A29" s="58" t="s">
        <v>160</v>
      </c>
      <c r="B29" s="58">
        <f>SUM(B15:B19,B21:B22,B24)/((1+B27)^B13)</f>
        <v>234999993.25568283</v>
      </c>
      <c r="C29" s="58">
        <f t="shared" ref="C29:BN29" si="0">SUM(C15:C19,C21:C22,C24)/((1+C27)^C13)</f>
        <v>342931162.05972368</v>
      </c>
      <c r="D29" s="58">
        <f t="shared" si="0"/>
        <v>435734731.02640057</v>
      </c>
      <c r="E29" s="58">
        <f t="shared" si="0"/>
        <v>514928083.09614229</v>
      </c>
      <c r="F29" s="58">
        <f t="shared" si="0"/>
        <v>581894808.97837722</v>
      </c>
      <c r="G29" s="58">
        <f t="shared" si="0"/>
        <v>637895718.50605726</v>
      </c>
      <c r="H29" s="58">
        <f t="shared" si="0"/>
        <v>684078983.86285722</v>
      </c>
      <c r="I29" s="58">
        <f t="shared" si="0"/>
        <v>1001791252.3364486</v>
      </c>
      <c r="J29" s="58">
        <f t="shared" si="0"/>
        <v>927880966.3726089</v>
      </c>
      <c r="K29" s="58">
        <f t="shared" si="0"/>
        <v>859353669.05488205</v>
      </c>
      <c r="L29" s="58">
        <f t="shared" si="0"/>
        <v>795821369.03208911</v>
      </c>
      <c r="M29" s="58">
        <f t="shared" si="0"/>
        <v>736923801.79385829</v>
      </c>
      <c r="N29" s="58">
        <f t="shared" si="0"/>
        <v>682326462.40437424</v>
      </c>
      <c r="O29" s="58">
        <f t="shared" si="0"/>
        <v>631718776.96873283</v>
      </c>
      <c r="P29" s="58">
        <f t="shared" si="0"/>
        <v>584812403.09958446</v>
      </c>
      <c r="Q29" s="58">
        <f t="shared" si="0"/>
        <v>541339650.3313632</v>
      </c>
      <c r="R29" s="58">
        <f t="shared" si="0"/>
        <v>501052012.06178081</v>
      </c>
      <c r="S29" s="58">
        <f t="shared" si="0"/>
        <v>463718801.18861711</v>
      </c>
      <c r="T29" s="58">
        <f t="shared" si="0"/>
        <v>429125882.15727133</v>
      </c>
      <c r="U29" s="58">
        <f t="shared" si="0"/>
        <v>397074492.64384955</v>
      </c>
      <c r="V29" s="58">
        <f t="shared" si="0"/>
        <v>367380148.5724228</v>
      </c>
      <c r="W29" s="58">
        <f t="shared" si="0"/>
        <v>339871626.60593504</v>
      </c>
      <c r="X29" s="58">
        <f t="shared" si="0"/>
        <v>314390018.66038817</v>
      </c>
      <c r="Y29" s="58">
        <f t="shared" si="0"/>
        <v>290787853.37347853</v>
      </c>
      <c r="Z29" s="58">
        <f t="shared" si="0"/>
        <v>268928279.81383163</v>
      </c>
      <c r="AA29" s="58">
        <f t="shared" si="0"/>
        <v>248684309.0471842</v>
      </c>
      <c r="AB29" s="58">
        <f t="shared" si="0"/>
        <v>229938109.48304877</v>
      </c>
      <c r="AC29" s="58">
        <f t="shared" si="0"/>
        <v>212580352.21114525</v>
      </c>
      <c r="AD29" s="58">
        <f t="shared" si="0"/>
        <v>196509602.802692</v>
      </c>
      <c r="AE29" s="58">
        <f t="shared" si="0"/>
        <v>181631756.29890436</v>
      </c>
      <c r="AF29" s="58">
        <f t="shared" si="0"/>
        <v>167859512.33903691</v>
      </c>
      <c r="AG29" s="58">
        <f t="shared" si="0"/>
        <v>155111887.59423056</v>
      </c>
      <c r="AH29" s="58">
        <f t="shared" si="0"/>
        <v>143313762.87240508</v>
      </c>
      <c r="AI29" s="58">
        <f t="shared" si="0"/>
        <v>132395462.44450714</v>
      </c>
      <c r="AJ29" s="58">
        <f t="shared" si="0"/>
        <v>122292363.31456046</v>
      </c>
      <c r="AK29" s="58">
        <f t="shared" si="0"/>
        <v>112944532.31605574</v>
      </c>
      <c r="AL29" s="58">
        <f t="shared" si="0"/>
        <v>104296389.06611827</v>
      </c>
      <c r="AM29" s="58">
        <f t="shared" si="0"/>
        <v>96296392.947364286</v>
      </c>
      <c r="AN29" s="58">
        <f t="shared" si="0"/>
        <v>88896752.4161423</v>
      </c>
      <c r="AO29" s="58">
        <f t="shared" si="0"/>
        <v>82053155.05562076</v>
      </c>
      <c r="AP29" s="58">
        <f t="shared" si="0"/>
        <v>75724516.903560266</v>
      </c>
      <c r="AQ29" s="58">
        <f t="shared" si="0"/>
        <v>69872749.688180789</v>
      </c>
      <c r="AR29" s="58">
        <f t="shared" si="0"/>
        <v>64462544.70184876</v>
      </c>
      <c r="AS29" s="58">
        <f t="shared" si="0"/>
        <v>59461172.131867886</v>
      </c>
      <c r="AT29" s="58">
        <f t="shared" si="0"/>
        <v>54838294.750937656</v>
      </c>
      <c r="AU29" s="58">
        <f t="shared" si="0"/>
        <v>50565794.947278097</v>
      </c>
      <c r="AV29" s="58">
        <f t="shared" si="0"/>
        <v>46617614.146421067</v>
      </c>
      <c r="AW29" s="58">
        <f t="shared" si="0"/>
        <v>42969603.743613407</v>
      </c>
      <c r="AX29" s="58">
        <f t="shared" si="0"/>
        <v>39599386.728021324</v>
      </c>
      <c r="AY29" s="58">
        <f t="shared" si="0"/>
        <v>36486229.237795636</v>
      </c>
      <c r="AZ29" s="58">
        <f t="shared" si="0"/>
        <v>33610921.338860467</v>
      </c>
      <c r="BA29" s="58">
        <f t="shared" si="0"/>
        <v>30955666.370308109</v>
      </c>
      <c r="BB29" s="58">
        <f t="shared" si="0"/>
        <v>28503978.245784692</v>
      </c>
      <c r="BC29" s="58">
        <f t="shared" si="0"/>
        <v>26240586.143480763</v>
      </c>
      <c r="BD29" s="58">
        <f t="shared" si="0"/>
        <v>24151346.057528295</v>
      </c>
      <c r="BE29" s="58">
        <f t="shared" si="0"/>
        <v>22223158.720962342</v>
      </c>
      <c r="BF29" s="58">
        <f t="shared" si="0"/>
        <v>20443893.445131559</v>
      </c>
      <c r="BG29" s="58">
        <f t="shared" si="0"/>
        <v>18802317.45272005</v>
      </c>
      <c r="BH29" s="58">
        <f t="shared" si="0"/>
        <v>17288030.311546296</v>
      </c>
      <c r="BI29" s="58">
        <f t="shared" si="0"/>
        <v>15891403.10419165</v>
      </c>
      <c r="BJ29" s="58">
        <f t="shared" si="0"/>
        <v>14603521.994430814</v>
      </c>
      <c r="BK29" s="58">
        <f t="shared" si="0"/>
        <v>13416135.875526499</v>
      </c>
      <c r="BL29" s="58">
        <f t="shared" si="0"/>
        <v>12321607.807839895</v>
      </c>
      <c r="BM29" s="58">
        <f t="shared" si="0"/>
        <v>11312869.974015964</v>
      </c>
      <c r="BN29" s="58">
        <f t="shared" si="0"/>
        <v>10383381.899339914</v>
      </c>
      <c r="BO29" s="58">
        <f>SUM(BO15:BO19,BO21:BO22,BO24)/((1+BO27)^BO13)</f>
        <v>9527091.7028312068</v>
      </c>
      <c r="BP29" s="58">
        <f>SUM(BP15:BP19,BP21:BP22,BP24)/((1+BP27)^BP13)</f>
        <v>8738400.1613406166</v>
      </c>
    </row>
    <row r="30" spans="1:68">
      <c r="A30" s="58" t="s">
        <v>159</v>
      </c>
      <c r="B30" s="58">
        <f>SUM(B15:B19,B21:B22)/((1+B27)^B13)</f>
        <v>131936350.14822155</v>
      </c>
      <c r="C30" s="58">
        <f t="shared" ref="C30:BN30" si="1">SUM(C15:C19,C21:C22)/((1+C27)^C13)</f>
        <v>246610000.2770496</v>
      </c>
      <c r="D30" s="58">
        <f t="shared" si="1"/>
        <v>345714953.65941536</v>
      </c>
      <c r="E30" s="58">
        <f t="shared" si="1"/>
        <v>430797450.04288512</v>
      </c>
      <c r="F30" s="58">
        <f t="shared" si="1"/>
        <v>503268049.11552006</v>
      </c>
      <c r="G30" s="58">
        <f t="shared" si="1"/>
        <v>564412765.36320007</v>
      </c>
      <c r="H30" s="58">
        <f t="shared" si="1"/>
        <v>615403326.72000003</v>
      </c>
      <c r="I30" s="58">
        <f t="shared" si="1"/>
        <v>1001791252.3364486</v>
      </c>
      <c r="J30" s="58">
        <f t="shared" si="1"/>
        <v>927880966.3726089</v>
      </c>
      <c r="K30" s="58">
        <f t="shared" si="1"/>
        <v>859353669.05488205</v>
      </c>
      <c r="L30" s="58">
        <f t="shared" si="1"/>
        <v>795821369.03208911</v>
      </c>
      <c r="M30" s="58">
        <f t="shared" si="1"/>
        <v>736923801.79385829</v>
      </c>
      <c r="N30" s="58">
        <f t="shared" si="1"/>
        <v>682326462.40437424</v>
      </c>
      <c r="O30" s="58">
        <f t="shared" si="1"/>
        <v>631718776.96873283</v>
      </c>
      <c r="P30" s="58">
        <f t="shared" si="1"/>
        <v>584812403.09958446</v>
      </c>
      <c r="Q30" s="58">
        <f t="shared" si="1"/>
        <v>541339650.3313632</v>
      </c>
      <c r="R30" s="58">
        <f t="shared" si="1"/>
        <v>501052012.06178081</v>
      </c>
      <c r="S30" s="58">
        <f t="shared" si="1"/>
        <v>463718801.18861711</v>
      </c>
      <c r="T30" s="58">
        <f t="shared" si="1"/>
        <v>429125882.15727133</v>
      </c>
      <c r="U30" s="58">
        <f t="shared" si="1"/>
        <v>397074492.64384955</v>
      </c>
      <c r="V30" s="58">
        <f t="shared" si="1"/>
        <v>367380148.5724228</v>
      </c>
      <c r="W30" s="58">
        <f t="shared" si="1"/>
        <v>339871626.60593504</v>
      </c>
      <c r="X30" s="58">
        <f t="shared" si="1"/>
        <v>314390018.66038817</v>
      </c>
      <c r="Y30" s="58">
        <f t="shared" si="1"/>
        <v>290787853.37347853</v>
      </c>
      <c r="Z30" s="58">
        <f t="shared" si="1"/>
        <v>268928279.81383163</v>
      </c>
      <c r="AA30" s="58">
        <f t="shared" si="1"/>
        <v>248684309.0471842</v>
      </c>
      <c r="AB30" s="58">
        <f t="shared" si="1"/>
        <v>229938109.48304877</v>
      </c>
      <c r="AC30" s="58">
        <f t="shared" si="1"/>
        <v>212580352.21114525</v>
      </c>
      <c r="AD30" s="58">
        <f t="shared" si="1"/>
        <v>196509602.802692</v>
      </c>
      <c r="AE30" s="58">
        <f t="shared" si="1"/>
        <v>181631756.29890436</v>
      </c>
      <c r="AF30" s="58">
        <f t="shared" si="1"/>
        <v>167859512.33903691</v>
      </c>
      <c r="AG30" s="58">
        <f t="shared" si="1"/>
        <v>155111887.59423056</v>
      </c>
      <c r="AH30" s="58">
        <f t="shared" si="1"/>
        <v>143313762.87240508</v>
      </c>
      <c r="AI30" s="58">
        <f t="shared" si="1"/>
        <v>132395462.44450714</v>
      </c>
      <c r="AJ30" s="58">
        <f t="shared" si="1"/>
        <v>122292363.31456046</v>
      </c>
      <c r="AK30" s="58">
        <f t="shared" si="1"/>
        <v>112944532.31605574</v>
      </c>
      <c r="AL30" s="58">
        <f t="shared" si="1"/>
        <v>104296389.06611827</v>
      </c>
      <c r="AM30" s="58">
        <f t="shared" si="1"/>
        <v>96296392.947364286</v>
      </c>
      <c r="AN30" s="58">
        <f t="shared" si="1"/>
        <v>88896752.4161423</v>
      </c>
      <c r="AO30" s="58">
        <f t="shared" si="1"/>
        <v>82053155.05562076</v>
      </c>
      <c r="AP30" s="58">
        <f t="shared" si="1"/>
        <v>75724516.903560266</v>
      </c>
      <c r="AQ30" s="58">
        <f t="shared" si="1"/>
        <v>69872749.688180789</v>
      </c>
      <c r="AR30" s="58">
        <f t="shared" si="1"/>
        <v>64462544.70184876</v>
      </c>
      <c r="AS30" s="58">
        <f t="shared" si="1"/>
        <v>59461172.131867886</v>
      </c>
      <c r="AT30" s="58">
        <f t="shared" si="1"/>
        <v>54838294.750937656</v>
      </c>
      <c r="AU30" s="58">
        <f t="shared" si="1"/>
        <v>50565794.947278097</v>
      </c>
      <c r="AV30" s="58">
        <f t="shared" si="1"/>
        <v>46617614.146421067</v>
      </c>
      <c r="AW30" s="58">
        <f t="shared" si="1"/>
        <v>42969603.743613407</v>
      </c>
      <c r="AX30" s="58">
        <f t="shared" si="1"/>
        <v>39599386.728021324</v>
      </c>
      <c r="AY30" s="58">
        <f t="shared" si="1"/>
        <v>36486229.237795636</v>
      </c>
      <c r="AZ30" s="58">
        <f t="shared" si="1"/>
        <v>33610921.338860467</v>
      </c>
      <c r="BA30" s="58">
        <f t="shared" si="1"/>
        <v>30955666.370308109</v>
      </c>
      <c r="BB30" s="58">
        <f t="shared" si="1"/>
        <v>28503978.245784692</v>
      </c>
      <c r="BC30" s="58">
        <f t="shared" si="1"/>
        <v>26240586.143480763</v>
      </c>
      <c r="BD30" s="58">
        <f t="shared" si="1"/>
        <v>24151346.057528295</v>
      </c>
      <c r="BE30" s="58">
        <f t="shared" si="1"/>
        <v>22223158.720962342</v>
      </c>
      <c r="BF30" s="58">
        <f t="shared" si="1"/>
        <v>20443893.445131559</v>
      </c>
      <c r="BG30" s="58">
        <f t="shared" si="1"/>
        <v>18802317.45272005</v>
      </c>
      <c r="BH30" s="58">
        <f t="shared" si="1"/>
        <v>17288030.311546296</v>
      </c>
      <c r="BI30" s="58">
        <f t="shared" si="1"/>
        <v>15891403.10419165</v>
      </c>
      <c r="BJ30" s="58">
        <f t="shared" si="1"/>
        <v>14603521.994430814</v>
      </c>
      <c r="BK30" s="58">
        <f t="shared" si="1"/>
        <v>13416135.875526499</v>
      </c>
      <c r="BL30" s="58">
        <f t="shared" si="1"/>
        <v>12321607.807839895</v>
      </c>
      <c r="BM30" s="58">
        <f t="shared" si="1"/>
        <v>11312869.974015964</v>
      </c>
      <c r="BN30" s="58">
        <f t="shared" si="1"/>
        <v>10383381.899339914</v>
      </c>
      <c r="BO30" s="58">
        <f>SUM(BO15:BO19,BO21:BO22)/((1+BO27)^BO13)</f>
        <v>9527091.7028312068</v>
      </c>
      <c r="BP30" s="58">
        <f>SUM(BP15:BP19,BP21:BP22)/((1+BP27)^BP13)</f>
        <v>8738400.1613406166</v>
      </c>
    </row>
    <row r="31" spans="1:68">
      <c r="A31" s="58" t="s">
        <v>162</v>
      </c>
      <c r="B31" s="58">
        <f>SUM(B15:B22,B24)/((1+B27)^B13)</f>
        <v>234999993.25568283</v>
      </c>
      <c r="C31" s="58">
        <f t="shared" ref="C31:BN31" si="2">SUM(C15:C22,C24)/((1+C27)^C13)</f>
        <v>342931162.05972368</v>
      </c>
      <c r="D31" s="58">
        <f t="shared" si="2"/>
        <v>435734731.02640057</v>
      </c>
      <c r="E31" s="58">
        <f t="shared" si="2"/>
        <v>514928083.09614229</v>
      </c>
      <c r="F31" s="58">
        <f t="shared" si="2"/>
        <v>581894808.97837722</v>
      </c>
      <c r="G31" s="58">
        <f t="shared" si="2"/>
        <v>637895718.50605726</v>
      </c>
      <c r="H31" s="58">
        <f t="shared" si="2"/>
        <v>684078983.86285722</v>
      </c>
      <c r="I31" s="58">
        <f t="shared" si="2"/>
        <v>1001791252.3364486</v>
      </c>
      <c r="J31" s="58">
        <f t="shared" si="2"/>
        <v>927880966.3726089</v>
      </c>
      <c r="K31" s="58">
        <f t="shared" si="2"/>
        <v>859353669.05488205</v>
      </c>
      <c r="L31" s="58">
        <f t="shared" si="2"/>
        <v>795821369.03208911</v>
      </c>
      <c r="M31" s="58">
        <f t="shared" si="2"/>
        <v>736923801.79385829</v>
      </c>
      <c r="N31" s="58">
        <f t="shared" si="2"/>
        <v>682326462.40437424</v>
      </c>
      <c r="O31" s="58">
        <f t="shared" si="2"/>
        <v>631718776.96873283</v>
      </c>
      <c r="P31" s="58">
        <f t="shared" si="2"/>
        <v>584812403.09958446</v>
      </c>
      <c r="Q31" s="58">
        <f t="shared" si="2"/>
        <v>541339650.3313632</v>
      </c>
      <c r="R31" s="58">
        <f t="shared" si="2"/>
        <v>501052012.06178081</v>
      </c>
      <c r="S31" s="58">
        <f t="shared" si="2"/>
        <v>463718801.18861711</v>
      </c>
      <c r="T31" s="58">
        <f t="shared" si="2"/>
        <v>429125882.15727133</v>
      </c>
      <c r="U31" s="58">
        <f t="shared" si="2"/>
        <v>397074492.64384955</v>
      </c>
      <c r="V31" s="58">
        <f t="shared" si="2"/>
        <v>367380148.5724228</v>
      </c>
      <c r="W31" s="58">
        <f t="shared" si="2"/>
        <v>339871626.60593504</v>
      </c>
      <c r="X31" s="58">
        <f t="shared" si="2"/>
        <v>314390018.66038817</v>
      </c>
      <c r="Y31" s="58">
        <f t="shared" si="2"/>
        <v>290787853.37347853</v>
      </c>
      <c r="Z31" s="58">
        <f t="shared" si="2"/>
        <v>268928279.81383163</v>
      </c>
      <c r="AA31" s="58">
        <f t="shared" si="2"/>
        <v>248684309.0471842</v>
      </c>
      <c r="AB31" s="58">
        <f t="shared" si="2"/>
        <v>229938109.48304877</v>
      </c>
      <c r="AC31" s="58">
        <f t="shared" si="2"/>
        <v>212580352.21114525</v>
      </c>
      <c r="AD31" s="58">
        <f t="shared" si="2"/>
        <v>196509602.802692</v>
      </c>
      <c r="AE31" s="58">
        <f t="shared" si="2"/>
        <v>181631756.29890436</v>
      </c>
      <c r="AF31" s="58">
        <f t="shared" si="2"/>
        <v>167859512.33903691</v>
      </c>
      <c r="AG31" s="58">
        <f t="shared" si="2"/>
        <v>155111887.59423056</v>
      </c>
      <c r="AH31" s="58">
        <f t="shared" si="2"/>
        <v>143313762.87240508</v>
      </c>
      <c r="AI31" s="58">
        <f t="shared" si="2"/>
        <v>132395462.44450714</v>
      </c>
      <c r="AJ31" s="58">
        <f t="shared" si="2"/>
        <v>122292363.31456046</v>
      </c>
      <c r="AK31" s="58">
        <f t="shared" si="2"/>
        <v>112944532.31605574</v>
      </c>
      <c r="AL31" s="58">
        <f t="shared" si="2"/>
        <v>104296389.06611827</v>
      </c>
      <c r="AM31" s="58">
        <f t="shared" si="2"/>
        <v>96296392.947364286</v>
      </c>
      <c r="AN31" s="58">
        <f t="shared" si="2"/>
        <v>88896752.4161423</v>
      </c>
      <c r="AO31" s="58">
        <f t="shared" si="2"/>
        <v>82053155.05562076</v>
      </c>
      <c r="AP31" s="58">
        <f t="shared" si="2"/>
        <v>75724516.903560266</v>
      </c>
      <c r="AQ31" s="58">
        <f t="shared" si="2"/>
        <v>69872749.688180789</v>
      </c>
      <c r="AR31" s="58">
        <f t="shared" si="2"/>
        <v>64462544.70184876</v>
      </c>
      <c r="AS31" s="58">
        <f t="shared" si="2"/>
        <v>59461172.131867886</v>
      </c>
      <c r="AT31" s="58">
        <f t="shared" si="2"/>
        <v>54838294.750937656</v>
      </c>
      <c r="AU31" s="58">
        <f t="shared" si="2"/>
        <v>50565794.947278097</v>
      </c>
      <c r="AV31" s="58">
        <f t="shared" si="2"/>
        <v>46617614.146421067</v>
      </c>
      <c r="AW31" s="58">
        <f t="shared" si="2"/>
        <v>42969603.743613407</v>
      </c>
      <c r="AX31" s="58">
        <f t="shared" si="2"/>
        <v>39599386.728021324</v>
      </c>
      <c r="AY31" s="58">
        <f t="shared" si="2"/>
        <v>36486229.237795636</v>
      </c>
      <c r="AZ31" s="58">
        <f t="shared" si="2"/>
        <v>33610921.338860467</v>
      </c>
      <c r="BA31" s="58">
        <f t="shared" si="2"/>
        <v>30955666.370308109</v>
      </c>
      <c r="BB31" s="58">
        <f t="shared" si="2"/>
        <v>28503978.245784692</v>
      </c>
      <c r="BC31" s="58">
        <f t="shared" si="2"/>
        <v>26240586.143480763</v>
      </c>
      <c r="BD31" s="58">
        <f t="shared" si="2"/>
        <v>24151346.057528295</v>
      </c>
      <c r="BE31" s="58">
        <f t="shared" si="2"/>
        <v>22223158.720962342</v>
      </c>
      <c r="BF31" s="58">
        <f t="shared" si="2"/>
        <v>20443893.445131559</v>
      </c>
      <c r="BG31" s="58">
        <f t="shared" si="2"/>
        <v>18802317.45272005</v>
      </c>
      <c r="BH31" s="58">
        <f t="shared" si="2"/>
        <v>17288030.311546296</v>
      </c>
      <c r="BI31" s="58">
        <f t="shared" si="2"/>
        <v>15891403.10419165</v>
      </c>
      <c r="BJ31" s="58">
        <f t="shared" si="2"/>
        <v>14603521.994430814</v>
      </c>
      <c r="BK31" s="58">
        <f t="shared" si="2"/>
        <v>13416135.875526499</v>
      </c>
      <c r="BL31" s="58">
        <f t="shared" si="2"/>
        <v>12321607.807839895</v>
      </c>
      <c r="BM31" s="58">
        <f t="shared" si="2"/>
        <v>11312869.974015964</v>
      </c>
      <c r="BN31" s="58">
        <f t="shared" si="2"/>
        <v>10383381.899339914</v>
      </c>
      <c r="BO31" s="58">
        <f>SUM(BO15:BO22,BO24)/((1+BO27)^BO13)</f>
        <v>9527091.7028312068</v>
      </c>
      <c r="BP31" s="58">
        <f>SUM(BP15:BP22,BP24)/((1+BP27)^BP13)</f>
        <v>8738400.1613406166</v>
      </c>
    </row>
    <row r="32" spans="1:68">
      <c r="A32" s="58" t="s">
        <v>161</v>
      </c>
      <c r="B32" s="58">
        <f>SUM(B15:B22)/((1+B27)^B13)</f>
        <v>131936350.14822155</v>
      </c>
      <c r="C32" s="58">
        <f t="shared" ref="C32:BN32" si="3">SUM(C15:C22)/((1+C27)^C13)</f>
        <v>246610000.2770496</v>
      </c>
      <c r="D32" s="58">
        <f t="shared" si="3"/>
        <v>345714953.65941536</v>
      </c>
      <c r="E32" s="58">
        <f t="shared" si="3"/>
        <v>430797450.04288512</v>
      </c>
      <c r="F32" s="58">
        <f t="shared" si="3"/>
        <v>503268049.11552006</v>
      </c>
      <c r="G32" s="58">
        <f t="shared" si="3"/>
        <v>564412765.36320007</v>
      </c>
      <c r="H32" s="58">
        <f t="shared" si="3"/>
        <v>615403326.72000003</v>
      </c>
      <c r="I32" s="58">
        <f t="shared" si="3"/>
        <v>1001791252.3364486</v>
      </c>
      <c r="J32" s="58">
        <f t="shared" si="3"/>
        <v>927880966.3726089</v>
      </c>
      <c r="K32" s="58">
        <f t="shared" si="3"/>
        <v>859353669.05488205</v>
      </c>
      <c r="L32" s="58">
        <f t="shared" si="3"/>
        <v>795821369.03208911</v>
      </c>
      <c r="M32" s="58">
        <f t="shared" si="3"/>
        <v>736923801.79385829</v>
      </c>
      <c r="N32" s="58">
        <f t="shared" si="3"/>
        <v>682326462.40437424</v>
      </c>
      <c r="O32" s="58">
        <f t="shared" si="3"/>
        <v>631718776.96873283</v>
      </c>
      <c r="P32" s="58">
        <f t="shared" si="3"/>
        <v>584812403.09958446</v>
      </c>
      <c r="Q32" s="58">
        <f t="shared" si="3"/>
        <v>541339650.3313632</v>
      </c>
      <c r="R32" s="58">
        <f t="shared" si="3"/>
        <v>501052012.06178081</v>
      </c>
      <c r="S32" s="58">
        <f t="shared" si="3"/>
        <v>463718801.18861711</v>
      </c>
      <c r="T32" s="58">
        <f t="shared" si="3"/>
        <v>429125882.15727133</v>
      </c>
      <c r="U32" s="58">
        <f t="shared" si="3"/>
        <v>397074492.64384955</v>
      </c>
      <c r="V32" s="58">
        <f t="shared" si="3"/>
        <v>367380148.5724228</v>
      </c>
      <c r="W32" s="58">
        <f t="shared" si="3"/>
        <v>339871626.60593504</v>
      </c>
      <c r="X32" s="58">
        <f t="shared" si="3"/>
        <v>314390018.66038817</v>
      </c>
      <c r="Y32" s="58">
        <f t="shared" si="3"/>
        <v>290787853.37347853</v>
      </c>
      <c r="Z32" s="58">
        <f t="shared" si="3"/>
        <v>268928279.81383163</v>
      </c>
      <c r="AA32" s="58">
        <f t="shared" si="3"/>
        <v>248684309.0471842</v>
      </c>
      <c r="AB32" s="58">
        <f t="shared" si="3"/>
        <v>229938109.48304877</v>
      </c>
      <c r="AC32" s="58">
        <f t="shared" si="3"/>
        <v>212580352.21114525</v>
      </c>
      <c r="AD32" s="58">
        <f t="shared" si="3"/>
        <v>196509602.802692</v>
      </c>
      <c r="AE32" s="58">
        <f t="shared" si="3"/>
        <v>181631756.29890436</v>
      </c>
      <c r="AF32" s="58">
        <f t="shared" si="3"/>
        <v>167859512.33903691</v>
      </c>
      <c r="AG32" s="58">
        <f t="shared" si="3"/>
        <v>155111887.59423056</v>
      </c>
      <c r="AH32" s="58">
        <f t="shared" si="3"/>
        <v>143313762.87240508</v>
      </c>
      <c r="AI32" s="58">
        <f t="shared" si="3"/>
        <v>132395462.44450714</v>
      </c>
      <c r="AJ32" s="58">
        <f t="shared" si="3"/>
        <v>122292363.31456046</v>
      </c>
      <c r="AK32" s="58">
        <f t="shared" si="3"/>
        <v>112944532.31605574</v>
      </c>
      <c r="AL32" s="58">
        <f t="shared" si="3"/>
        <v>104296389.06611827</v>
      </c>
      <c r="AM32" s="58">
        <f t="shared" si="3"/>
        <v>96296392.947364286</v>
      </c>
      <c r="AN32" s="58">
        <f t="shared" si="3"/>
        <v>88896752.4161423</v>
      </c>
      <c r="AO32" s="58">
        <f t="shared" si="3"/>
        <v>82053155.05562076</v>
      </c>
      <c r="AP32" s="58">
        <f t="shared" si="3"/>
        <v>75724516.903560266</v>
      </c>
      <c r="AQ32" s="58">
        <f t="shared" si="3"/>
        <v>69872749.688180789</v>
      </c>
      <c r="AR32" s="58">
        <f t="shared" si="3"/>
        <v>64462544.70184876</v>
      </c>
      <c r="AS32" s="58">
        <f t="shared" si="3"/>
        <v>59461172.131867886</v>
      </c>
      <c r="AT32" s="58">
        <f t="shared" si="3"/>
        <v>54838294.750937656</v>
      </c>
      <c r="AU32" s="58">
        <f t="shared" si="3"/>
        <v>50565794.947278097</v>
      </c>
      <c r="AV32" s="58">
        <f t="shared" si="3"/>
        <v>46617614.146421067</v>
      </c>
      <c r="AW32" s="58">
        <f t="shared" si="3"/>
        <v>42969603.743613407</v>
      </c>
      <c r="AX32" s="58">
        <f t="shared" si="3"/>
        <v>39599386.728021324</v>
      </c>
      <c r="AY32" s="58">
        <f t="shared" si="3"/>
        <v>36486229.237795636</v>
      </c>
      <c r="AZ32" s="58">
        <f t="shared" si="3"/>
        <v>33610921.338860467</v>
      </c>
      <c r="BA32" s="58">
        <f t="shared" si="3"/>
        <v>30955666.370308109</v>
      </c>
      <c r="BB32" s="58">
        <f t="shared" si="3"/>
        <v>28503978.245784692</v>
      </c>
      <c r="BC32" s="58">
        <f t="shared" si="3"/>
        <v>26240586.143480763</v>
      </c>
      <c r="BD32" s="58">
        <f t="shared" si="3"/>
        <v>24151346.057528295</v>
      </c>
      <c r="BE32" s="58">
        <f t="shared" si="3"/>
        <v>22223158.720962342</v>
      </c>
      <c r="BF32" s="58">
        <f t="shared" si="3"/>
        <v>20443893.445131559</v>
      </c>
      <c r="BG32" s="58">
        <f t="shared" si="3"/>
        <v>18802317.45272005</v>
      </c>
      <c r="BH32" s="58">
        <f t="shared" si="3"/>
        <v>17288030.311546296</v>
      </c>
      <c r="BI32" s="58">
        <f t="shared" si="3"/>
        <v>15891403.10419165</v>
      </c>
      <c r="BJ32" s="58">
        <f t="shared" si="3"/>
        <v>14603521.994430814</v>
      </c>
      <c r="BK32" s="58">
        <f t="shared" si="3"/>
        <v>13416135.875526499</v>
      </c>
      <c r="BL32" s="58">
        <f t="shared" si="3"/>
        <v>12321607.807839895</v>
      </c>
      <c r="BM32" s="58">
        <f t="shared" si="3"/>
        <v>11312869.974015964</v>
      </c>
      <c r="BN32" s="58">
        <f t="shared" si="3"/>
        <v>10383381.899339914</v>
      </c>
      <c r="BO32" s="58">
        <f>SUM(BO15:BO22)/((1+BO27)^BO13)</f>
        <v>9527091.7028312068</v>
      </c>
      <c r="BP32" s="58">
        <f>SUM(BP15:BP22)/((1+BP27)^BP13)</f>
        <v>8738400.1613406166</v>
      </c>
    </row>
    <row r="33" spans="1:75">
      <c r="A33" s="58" t="s">
        <v>163</v>
      </c>
      <c r="B33" s="58">
        <f t="shared" ref="B33:H33" si="4">B25/((1+B27)^B13)</f>
        <v>0</v>
      </c>
      <c r="C33" s="58">
        <f t="shared" si="4"/>
        <v>0</v>
      </c>
      <c r="D33" s="58">
        <f t="shared" si="4"/>
        <v>0</v>
      </c>
      <c r="E33" s="58">
        <f t="shared" si="4"/>
        <v>0</v>
      </c>
      <c r="F33" s="58">
        <f t="shared" si="4"/>
        <v>0</v>
      </c>
      <c r="G33" s="58">
        <f t="shared" si="4"/>
        <v>0</v>
      </c>
      <c r="H33" s="58">
        <f t="shared" si="4"/>
        <v>0</v>
      </c>
      <c r="I33" s="58">
        <f>I25/((1+I27)^I13)</f>
        <v>11663551.401869157</v>
      </c>
      <c r="J33" s="58">
        <f t="shared" ref="J33:BP33" si="5">J25/((1+J27)^J13)</f>
        <v>10900515.328849681</v>
      </c>
      <c r="K33" s="58">
        <f t="shared" si="5"/>
        <v>10187397.503597831</v>
      </c>
      <c r="L33" s="58">
        <f t="shared" si="5"/>
        <v>9520932.246353114</v>
      </c>
      <c r="M33" s="58">
        <f t="shared" si="5"/>
        <v>8898067.5199561808</v>
      </c>
      <c r="N33" s="58">
        <f t="shared" si="5"/>
        <v>8315950.9532300765</v>
      </c>
      <c r="O33" s="58">
        <f t="shared" si="5"/>
        <v>7771916.7787196971</v>
      </c>
      <c r="P33" s="58">
        <f t="shared" si="5"/>
        <v>7263473.6249716794</v>
      </c>
      <c r="Q33" s="58">
        <f t="shared" si="5"/>
        <v>6788293.1074501667</v>
      </c>
      <c r="R33" s="58">
        <f t="shared" si="5"/>
        <v>6344199.1658412777</v>
      </c>
      <c r="S33" s="58">
        <f t="shared" si="5"/>
        <v>5929158.098917082</v>
      </c>
      <c r="T33" s="58">
        <f t="shared" si="5"/>
        <v>5541269.2513243761</v>
      </c>
      <c r="U33" s="58">
        <f t="shared" si="5"/>
        <v>5178756.3096489497</v>
      </c>
      <c r="V33" s="58">
        <f t="shared" si="5"/>
        <v>4839959.1678962149</v>
      </c>
      <c r="W33" s="58">
        <f t="shared" si="5"/>
        <v>4523326.3251366485</v>
      </c>
      <c r="X33" s="58">
        <f t="shared" si="5"/>
        <v>4227407.7805015417</v>
      </c>
      <c r="Y33" s="58">
        <f t="shared" si="5"/>
        <v>3950848.3929920946</v>
      </c>
      <c r="Z33" s="58">
        <f t="shared" si="5"/>
        <v>3692381.6756935464</v>
      </c>
      <c r="AA33" s="58">
        <f t="shared" si="5"/>
        <v>3450823.9959752769</v>
      </c>
      <c r="AB33" s="58">
        <f t="shared" si="5"/>
        <v>3225069.1551170815</v>
      </c>
      <c r="AC33" s="58">
        <f t="shared" si="5"/>
        <v>3014083.3225393281</v>
      </c>
      <c r="AD33" s="58">
        <f t="shared" si="5"/>
        <v>2816900.3014386245</v>
      </c>
      <c r="AE33" s="58">
        <f t="shared" si="5"/>
        <v>2632617.1041482473</v>
      </c>
      <c r="AF33" s="58">
        <f t="shared" si="5"/>
        <v>2460389.8169609788</v>
      </c>
      <c r="AG33" s="58">
        <f t="shared" si="5"/>
        <v>2299429.73547755</v>
      </c>
      <c r="AH33" s="58">
        <f t="shared" si="5"/>
        <v>2148999.7527827569</v>
      </c>
      <c r="AI33" s="58">
        <f t="shared" si="5"/>
        <v>2008410.9839091185</v>
      </c>
      <c r="AJ33" s="58">
        <f t="shared" si="5"/>
        <v>1877019.6111300176</v>
      </c>
      <c r="AK33" s="58">
        <f t="shared" si="5"/>
        <v>1754223.9356355304</v>
      </c>
      <c r="AL33" s="58">
        <f t="shared" si="5"/>
        <v>1639461.6220892807</v>
      </c>
      <c r="AM33" s="58">
        <f t="shared" si="5"/>
        <v>1532207.1234479258</v>
      </c>
      <c r="AN33" s="58">
        <f t="shared" si="5"/>
        <v>1431969.2742503979</v>
      </c>
      <c r="AO33" s="58">
        <f t="shared" si="5"/>
        <v>1338289.0413555121</v>
      </c>
      <c r="AP33" s="58">
        <f t="shared" si="5"/>
        <v>1250737.4218275815</v>
      </c>
      <c r="AQ33" s="58">
        <f t="shared" si="5"/>
        <v>1168913.4783435341</v>
      </c>
      <c r="AR33" s="58">
        <f t="shared" si="5"/>
        <v>1092442.5031247982</v>
      </c>
      <c r="AS33" s="58">
        <f t="shared" si="5"/>
        <v>1020974.3019857926</v>
      </c>
      <c r="AT33" s="58">
        <f t="shared" si="5"/>
        <v>954181.59064092766</v>
      </c>
      <c r="AU33" s="58">
        <f t="shared" si="5"/>
        <v>891758.49592610064</v>
      </c>
      <c r="AV33" s="58">
        <f t="shared" si="5"/>
        <v>833419.15507112211</v>
      </c>
      <c r="AW33" s="58">
        <f t="shared" si="5"/>
        <v>778896.40660852531</v>
      </c>
      <c r="AX33" s="58">
        <f t="shared" si="5"/>
        <v>727940.56692385545</v>
      </c>
      <c r="AY33" s="58">
        <f t="shared" si="5"/>
        <v>680318.28684472467</v>
      </c>
      <c r="AZ33" s="58">
        <f t="shared" si="5"/>
        <v>635811.48303245299</v>
      </c>
      <c r="BA33" s="58">
        <f t="shared" si="5"/>
        <v>594216.33928266633</v>
      </c>
      <c r="BB33" s="58">
        <f t="shared" si="5"/>
        <v>555342.3731613704</v>
      </c>
      <c r="BC33" s="58">
        <f t="shared" si="5"/>
        <v>519011.56370221532</v>
      </c>
      <c r="BD33" s="58">
        <f t="shared" si="5"/>
        <v>485057.53617029468</v>
      </c>
      <c r="BE33" s="58">
        <f t="shared" si="5"/>
        <v>453324.80015915394</v>
      </c>
      <c r="BF33" s="58">
        <f t="shared" si="5"/>
        <v>423668.03753191954</v>
      </c>
      <c r="BG33" s="58">
        <f t="shared" si="5"/>
        <v>395951.43694571918</v>
      </c>
      <c r="BH33" s="58">
        <f t="shared" si="5"/>
        <v>370048.07191188709</v>
      </c>
      <c r="BI33" s="58">
        <f t="shared" si="5"/>
        <v>345839.3195438197</v>
      </c>
      <c r="BJ33" s="58">
        <f t="shared" si="5"/>
        <v>323214.31733067264</v>
      </c>
      <c r="BK33" s="58">
        <f t="shared" si="5"/>
        <v>302069.45544922678</v>
      </c>
      <c r="BL33" s="58">
        <f t="shared" si="5"/>
        <v>282307.90228899696</v>
      </c>
      <c r="BM33" s="58">
        <f t="shared" si="5"/>
        <v>263839.16101775417</v>
      </c>
      <c r="BN33" s="58">
        <f t="shared" si="5"/>
        <v>246578.65515677963</v>
      </c>
      <c r="BO33" s="58">
        <f t="shared" si="5"/>
        <v>230447.3412680183</v>
      </c>
      <c r="BP33" s="58">
        <f t="shared" si="5"/>
        <v>215371.34697945637</v>
      </c>
    </row>
    <row r="34" spans="1:75">
      <c r="I34" s="63"/>
    </row>
    <row r="36" spans="1:75">
      <c r="B36" s="59" t="s">
        <v>222</v>
      </c>
    </row>
    <row r="37" spans="1:75">
      <c r="B37" s="58" t="s">
        <v>168</v>
      </c>
      <c r="I37" s="58" t="s">
        <v>169</v>
      </c>
    </row>
    <row r="38" spans="1:75">
      <c r="A38" s="58" t="s">
        <v>269</v>
      </c>
      <c r="B38" s="58">
        <v>-7</v>
      </c>
      <c r="C38" s="58">
        <v>-6</v>
      </c>
      <c r="D38" s="58">
        <v>-5</v>
      </c>
      <c r="E38" s="58">
        <v>-4</v>
      </c>
      <c r="F38" s="58">
        <v>-3</v>
      </c>
      <c r="G38" s="58">
        <v>-2</v>
      </c>
      <c r="H38" s="58">
        <v>-1</v>
      </c>
      <c r="I38" s="58">
        <v>1</v>
      </c>
      <c r="J38" s="58">
        <v>2</v>
      </c>
      <c r="K38" s="58">
        <v>3</v>
      </c>
      <c r="L38" s="58">
        <v>4</v>
      </c>
      <c r="M38" s="58">
        <v>5</v>
      </c>
      <c r="N38" s="58">
        <v>6</v>
      </c>
      <c r="O38" s="58">
        <v>7</v>
      </c>
      <c r="P38" s="58">
        <v>8</v>
      </c>
      <c r="Q38" s="58">
        <v>9</v>
      </c>
      <c r="R38" s="58">
        <v>10</v>
      </c>
      <c r="S38" s="58">
        <v>11</v>
      </c>
      <c r="T38" s="58">
        <v>12</v>
      </c>
      <c r="U38" s="58">
        <v>13</v>
      </c>
      <c r="V38" s="58">
        <v>14</v>
      </c>
      <c r="W38" s="58">
        <v>15</v>
      </c>
      <c r="X38" s="58">
        <v>16</v>
      </c>
      <c r="Y38" s="58">
        <v>17</v>
      </c>
      <c r="Z38" s="58">
        <v>18</v>
      </c>
      <c r="AA38" s="58">
        <v>19</v>
      </c>
      <c r="AB38" s="58">
        <v>20</v>
      </c>
      <c r="AC38" s="58">
        <v>21</v>
      </c>
      <c r="AD38" s="58">
        <v>22</v>
      </c>
      <c r="AE38" s="58">
        <v>23</v>
      </c>
      <c r="AF38" s="58">
        <v>24</v>
      </c>
      <c r="AG38" s="58">
        <v>25</v>
      </c>
      <c r="AH38" s="58">
        <v>26</v>
      </c>
      <c r="AI38" s="58">
        <v>27</v>
      </c>
      <c r="AJ38" s="58">
        <v>28</v>
      </c>
      <c r="AK38" s="58">
        <v>29</v>
      </c>
      <c r="AL38" s="58">
        <v>30</v>
      </c>
      <c r="AM38" s="58">
        <v>31</v>
      </c>
      <c r="AN38" s="58">
        <v>32</v>
      </c>
      <c r="AO38" s="58">
        <v>33</v>
      </c>
      <c r="AP38" s="58">
        <v>34</v>
      </c>
      <c r="AQ38" s="58">
        <v>35</v>
      </c>
      <c r="AR38" s="58">
        <v>36</v>
      </c>
      <c r="AS38" s="58">
        <v>37</v>
      </c>
      <c r="AT38" s="58">
        <v>38</v>
      </c>
      <c r="AU38" s="58">
        <v>39</v>
      </c>
      <c r="AV38" s="58">
        <v>40</v>
      </c>
      <c r="AW38" s="58">
        <v>41</v>
      </c>
      <c r="AX38" s="58">
        <v>42</v>
      </c>
      <c r="AY38" s="58">
        <v>43</v>
      </c>
      <c r="AZ38" s="58">
        <v>44</v>
      </c>
      <c r="BA38" s="58">
        <v>45</v>
      </c>
      <c r="BB38" s="58">
        <v>46</v>
      </c>
      <c r="BC38" s="58">
        <v>47</v>
      </c>
      <c r="BD38" s="58">
        <v>48</v>
      </c>
      <c r="BE38" s="58">
        <v>49</v>
      </c>
      <c r="BF38" s="58">
        <v>50</v>
      </c>
      <c r="BG38" s="58">
        <v>51</v>
      </c>
      <c r="BH38" s="58">
        <v>52</v>
      </c>
      <c r="BI38" s="58">
        <v>53</v>
      </c>
      <c r="BJ38" s="58">
        <v>54</v>
      </c>
      <c r="BK38" s="58">
        <v>55</v>
      </c>
      <c r="BL38" s="58">
        <v>56</v>
      </c>
      <c r="BM38" s="58">
        <v>57</v>
      </c>
      <c r="BN38" s="58">
        <v>58</v>
      </c>
      <c r="BO38" s="58">
        <v>59</v>
      </c>
      <c r="BP38" s="58">
        <v>60</v>
      </c>
      <c r="BQ38" s="60"/>
      <c r="BR38" s="60"/>
      <c r="BS38" s="60"/>
      <c r="BT38" s="60"/>
      <c r="BU38" s="60"/>
      <c r="BV38" s="60"/>
      <c r="BW38" s="60"/>
    </row>
    <row r="39" spans="1:75">
      <c r="A39" s="58" t="s">
        <v>167</v>
      </c>
      <c r="B39" s="58">
        <f>('LCOE parameters'!$C$27*Assumptions!$B$9)*('LCOE parameters'!$C$23*Assumptions!$B$4)/'LCOE parameters'!$C$41</f>
        <v>1173761828.5714285</v>
      </c>
      <c r="C39" s="58">
        <f>('LCOE parameters'!$C$27*Assumptions!$B$9)*('LCOE parameters'!$C$23*Assumptions!$B$4)/'LCOE parameters'!$C$41</f>
        <v>1173761828.5714285</v>
      </c>
      <c r="D39" s="58">
        <f>('LCOE parameters'!$C$27*Assumptions!$B$9)*('LCOE parameters'!$C$23*Assumptions!$B$4)/'LCOE parameters'!$C$41</f>
        <v>1173761828.5714285</v>
      </c>
      <c r="E39" s="58">
        <f>('LCOE parameters'!$C$27*Assumptions!$B$9)*('LCOE parameters'!$C$23*Assumptions!$B$4)/'LCOE parameters'!$C$41</f>
        <v>1173761828.5714285</v>
      </c>
      <c r="F39" s="58">
        <f>('LCOE parameters'!$C$27*Assumptions!$B$9)*('LCOE parameters'!$C$23*Assumptions!$B$4)/'LCOE parameters'!$C$41</f>
        <v>1173761828.5714285</v>
      </c>
      <c r="G39" s="58">
        <f>('LCOE parameters'!$C$27*Assumptions!$B$9)*('LCOE parameters'!$C$23*Assumptions!$B$4)/'LCOE parameters'!$C$41</f>
        <v>1173761828.5714285</v>
      </c>
      <c r="H39" s="58">
        <f>('LCOE parameters'!$C$27*Assumptions!$B$9)*('LCOE parameters'!$C$23*Assumptions!$B$4)/'LCOE parameters'!$C$41</f>
        <v>1173761828.5714285</v>
      </c>
    </row>
    <row r="40" spans="1:75">
      <c r="A40" s="58" t="s">
        <v>170</v>
      </c>
      <c r="I40" s="58">
        <f>('LCOE parameters'!$C$27*Assumptions!$B$9)*('LCOE parameters'!$C$23*Assumptions!$B$4)/'LCOE parameters'!$C$42</f>
        <v>136938880</v>
      </c>
      <c r="J40" s="58">
        <f>('LCOE parameters'!$C$27*Assumptions!$B$9)*('LCOE parameters'!$C$23*Assumptions!$B$4)/'LCOE parameters'!$C$42</f>
        <v>136938880</v>
      </c>
      <c r="K40" s="58">
        <f>('LCOE parameters'!$C$27*Assumptions!$B$9)*('LCOE parameters'!$C$23*Assumptions!$B$4)/'LCOE parameters'!$C$42</f>
        <v>136938880</v>
      </c>
      <c r="L40" s="58">
        <f>('LCOE parameters'!$C$27*Assumptions!$B$9)*('LCOE parameters'!$C$23*Assumptions!$B$4)/'LCOE parameters'!$C$42</f>
        <v>136938880</v>
      </c>
      <c r="M40" s="58">
        <f>('LCOE parameters'!$C$27*Assumptions!$B$9)*('LCOE parameters'!$C$23*Assumptions!$B$4)/'LCOE parameters'!$C$42</f>
        <v>136938880</v>
      </c>
      <c r="N40" s="58">
        <f>('LCOE parameters'!$C$27*Assumptions!$B$9)*('LCOE parameters'!$C$23*Assumptions!$B$4)/'LCOE parameters'!$C$42</f>
        <v>136938880</v>
      </c>
      <c r="O40" s="58">
        <f>('LCOE parameters'!$C$27*Assumptions!$B$9)*('LCOE parameters'!$C$23*Assumptions!$B$4)/'LCOE parameters'!$C$42</f>
        <v>136938880</v>
      </c>
      <c r="P40" s="58">
        <f>('LCOE parameters'!$C$27*Assumptions!$B$9)*('LCOE parameters'!$C$23*Assumptions!$B$4)/'LCOE parameters'!$C$42</f>
        <v>136938880</v>
      </c>
      <c r="Q40" s="58">
        <f>('LCOE parameters'!$C$27*Assumptions!$B$9)*('LCOE parameters'!$C$23*Assumptions!$B$4)/'LCOE parameters'!$C$42</f>
        <v>136938880</v>
      </c>
      <c r="R40" s="58">
        <f>('LCOE parameters'!$C$27*Assumptions!$B$9)*('LCOE parameters'!$C$23*Assumptions!$B$4)/'LCOE parameters'!$C$42</f>
        <v>136938880</v>
      </c>
      <c r="S40" s="58">
        <f>('LCOE parameters'!$C$27*Assumptions!$B$9)*('LCOE parameters'!$C$23*Assumptions!$B$4)/'LCOE parameters'!$C$42</f>
        <v>136938880</v>
      </c>
      <c r="T40" s="58">
        <f>('LCOE parameters'!$C$27*Assumptions!$B$9)*('LCOE parameters'!$C$23*Assumptions!$B$4)/'LCOE parameters'!$C$42</f>
        <v>136938880</v>
      </c>
      <c r="U40" s="58">
        <f>('LCOE parameters'!$C$27*Assumptions!$B$9)*('LCOE parameters'!$C$23*Assumptions!$B$4)/'LCOE parameters'!$C$42</f>
        <v>136938880</v>
      </c>
      <c r="V40" s="58">
        <f>('LCOE parameters'!$C$27*Assumptions!$B$9)*('LCOE parameters'!$C$23*Assumptions!$B$4)/'LCOE parameters'!$C$42</f>
        <v>136938880</v>
      </c>
      <c r="W40" s="58">
        <f>('LCOE parameters'!$C$27*Assumptions!$B$9)*('LCOE parameters'!$C$23*Assumptions!$B$4)/'LCOE parameters'!$C$42</f>
        <v>136938880</v>
      </c>
      <c r="X40" s="58">
        <f>('LCOE parameters'!$C$27*Assumptions!$B$9)*('LCOE parameters'!$C$23*Assumptions!$B$4)/'LCOE parameters'!$C$42</f>
        <v>136938880</v>
      </c>
      <c r="Y40" s="58">
        <f>('LCOE parameters'!$C$27*Assumptions!$B$9)*('LCOE parameters'!$C$23*Assumptions!$B$4)/'LCOE parameters'!$C$42</f>
        <v>136938880</v>
      </c>
      <c r="Z40" s="58">
        <f>('LCOE parameters'!$C$27*Assumptions!$B$9)*('LCOE parameters'!$C$23*Assumptions!$B$4)/'LCOE parameters'!$C$42</f>
        <v>136938880</v>
      </c>
      <c r="AA40" s="58">
        <f>('LCOE parameters'!$C$27*Assumptions!$B$9)*('LCOE parameters'!$C$23*Assumptions!$B$4)/'LCOE parameters'!$C$42</f>
        <v>136938880</v>
      </c>
      <c r="AB40" s="58">
        <f>('LCOE parameters'!$C$27*Assumptions!$B$9)*('LCOE parameters'!$C$23*Assumptions!$B$4)/'LCOE parameters'!$C$42</f>
        <v>136938880</v>
      </c>
      <c r="AC40" s="58">
        <f>('LCOE parameters'!$C$27*Assumptions!$B$9)*('LCOE parameters'!$C$23*Assumptions!$B$4)/'LCOE parameters'!$C$42</f>
        <v>136938880</v>
      </c>
      <c r="AD40" s="58">
        <f>('LCOE parameters'!$C$27*Assumptions!$B$9)*('LCOE parameters'!$C$23*Assumptions!$B$4)/'LCOE parameters'!$C$42</f>
        <v>136938880</v>
      </c>
      <c r="AE40" s="58">
        <f>('LCOE parameters'!$C$27*Assumptions!$B$9)*('LCOE parameters'!$C$23*Assumptions!$B$4)/'LCOE parameters'!$C$42</f>
        <v>136938880</v>
      </c>
      <c r="AF40" s="58">
        <f>('LCOE parameters'!$C$27*Assumptions!$B$9)*('LCOE parameters'!$C$23*Assumptions!$B$4)/'LCOE parameters'!$C$42</f>
        <v>136938880</v>
      </c>
      <c r="AG40" s="58">
        <f>('LCOE parameters'!$C$27*Assumptions!$B$9)*('LCOE parameters'!$C$23*Assumptions!$B$4)/'LCOE parameters'!$C$42</f>
        <v>136938880</v>
      </c>
      <c r="AH40" s="58">
        <f>('LCOE parameters'!$C$27*Assumptions!$B$9)*('LCOE parameters'!$C$23*Assumptions!$B$4)/'LCOE parameters'!$C$42</f>
        <v>136938880</v>
      </c>
      <c r="AI40" s="58">
        <f>('LCOE parameters'!$C$27*Assumptions!$B$9)*('LCOE parameters'!$C$23*Assumptions!$B$4)/'LCOE parameters'!$C$42</f>
        <v>136938880</v>
      </c>
      <c r="AJ40" s="58">
        <f>('LCOE parameters'!$C$27*Assumptions!$B$9)*('LCOE parameters'!$C$23*Assumptions!$B$4)/'LCOE parameters'!$C$42</f>
        <v>136938880</v>
      </c>
      <c r="AK40" s="58">
        <f>('LCOE parameters'!$C$27*Assumptions!$B$9)*('LCOE parameters'!$C$23*Assumptions!$B$4)/'LCOE parameters'!$C$42</f>
        <v>136938880</v>
      </c>
      <c r="AL40" s="58">
        <f>('LCOE parameters'!$C$27*Assumptions!$B$9)*('LCOE parameters'!$C$23*Assumptions!$B$4)/'LCOE parameters'!$C$42</f>
        <v>136938880</v>
      </c>
      <c r="AM40" s="58">
        <f>('LCOE parameters'!$C$27*Assumptions!$B$9)*('LCOE parameters'!$C$23*Assumptions!$B$4)/'LCOE parameters'!$C$42</f>
        <v>136938880</v>
      </c>
      <c r="AN40" s="58">
        <f>('LCOE parameters'!$C$27*Assumptions!$B$9)*('LCOE parameters'!$C$23*Assumptions!$B$4)/'LCOE parameters'!$C$42</f>
        <v>136938880</v>
      </c>
      <c r="AO40" s="58">
        <f>('LCOE parameters'!$C$27*Assumptions!$B$9)*('LCOE parameters'!$C$23*Assumptions!$B$4)/'LCOE parameters'!$C$42</f>
        <v>136938880</v>
      </c>
      <c r="AP40" s="58">
        <f>('LCOE parameters'!$C$27*Assumptions!$B$9)*('LCOE parameters'!$C$23*Assumptions!$B$4)/'LCOE parameters'!$C$42</f>
        <v>136938880</v>
      </c>
      <c r="AQ40" s="58">
        <f>('LCOE parameters'!$C$27*Assumptions!$B$9)*('LCOE parameters'!$C$23*Assumptions!$B$4)/'LCOE parameters'!$C$42</f>
        <v>136938880</v>
      </c>
      <c r="AR40" s="58">
        <f>('LCOE parameters'!$C$27*Assumptions!$B$9)*('LCOE parameters'!$C$23*Assumptions!$B$4)/'LCOE parameters'!$C$42</f>
        <v>136938880</v>
      </c>
      <c r="AS40" s="58">
        <f>('LCOE parameters'!$C$27*Assumptions!$B$9)*('LCOE parameters'!$C$23*Assumptions!$B$4)/'LCOE parameters'!$C$42</f>
        <v>136938880</v>
      </c>
      <c r="AT40" s="58">
        <f>('LCOE parameters'!$C$27*Assumptions!$B$9)*('LCOE parameters'!$C$23*Assumptions!$B$4)/'LCOE parameters'!$C$42</f>
        <v>136938880</v>
      </c>
      <c r="AU40" s="58">
        <f>('LCOE parameters'!$C$27*Assumptions!$B$9)*('LCOE parameters'!$C$23*Assumptions!$B$4)/'LCOE parameters'!$C$42</f>
        <v>136938880</v>
      </c>
      <c r="AV40" s="58">
        <f>('LCOE parameters'!$C$27*Assumptions!$B$9)*('LCOE parameters'!$C$23*Assumptions!$B$4)/'LCOE parameters'!$C$42</f>
        <v>136938880</v>
      </c>
      <c r="AW40" s="58">
        <f>('LCOE parameters'!$C$27*Assumptions!$B$9)*('LCOE parameters'!$C$23*Assumptions!$B$4)/'LCOE parameters'!$C$42</f>
        <v>136938880</v>
      </c>
      <c r="AX40" s="58">
        <f>('LCOE parameters'!$C$27*Assumptions!$B$9)*('LCOE parameters'!$C$23*Assumptions!$B$4)/'LCOE parameters'!$C$42</f>
        <v>136938880</v>
      </c>
      <c r="AY40" s="58">
        <f>('LCOE parameters'!$C$27*Assumptions!$B$9)*('LCOE parameters'!$C$23*Assumptions!$B$4)/'LCOE parameters'!$C$42</f>
        <v>136938880</v>
      </c>
      <c r="AZ40" s="58">
        <f>('LCOE parameters'!$C$27*Assumptions!$B$9)*('LCOE parameters'!$C$23*Assumptions!$B$4)/'LCOE parameters'!$C$42</f>
        <v>136938880</v>
      </c>
      <c r="BA40" s="58">
        <f>('LCOE parameters'!$C$27*Assumptions!$B$9)*('LCOE parameters'!$C$23*Assumptions!$B$4)/'LCOE parameters'!$C$42</f>
        <v>136938880</v>
      </c>
      <c r="BB40" s="58">
        <f>('LCOE parameters'!$C$27*Assumptions!$B$9)*('LCOE parameters'!$C$23*Assumptions!$B$4)/'LCOE parameters'!$C$42</f>
        <v>136938880</v>
      </c>
      <c r="BC40" s="58">
        <f>('LCOE parameters'!$C$27*Assumptions!$B$9)*('LCOE parameters'!$C$23*Assumptions!$B$4)/'LCOE parameters'!$C$42</f>
        <v>136938880</v>
      </c>
      <c r="BD40" s="58">
        <f>('LCOE parameters'!$C$27*Assumptions!$B$9)*('LCOE parameters'!$C$23*Assumptions!$B$4)/'LCOE parameters'!$C$42</f>
        <v>136938880</v>
      </c>
      <c r="BE40" s="58">
        <f>('LCOE parameters'!$C$27*Assumptions!$B$9)*('LCOE parameters'!$C$23*Assumptions!$B$4)/'LCOE parameters'!$C$42</f>
        <v>136938880</v>
      </c>
      <c r="BF40" s="58">
        <f>('LCOE parameters'!$C$27*Assumptions!$B$9)*('LCOE parameters'!$C$23*Assumptions!$B$4)/'LCOE parameters'!$C$42</f>
        <v>136938880</v>
      </c>
      <c r="BG40" s="58">
        <f>('LCOE parameters'!$C$27*Assumptions!$B$9)*('LCOE parameters'!$C$23*Assumptions!$B$4)/'LCOE parameters'!$C$42</f>
        <v>136938880</v>
      </c>
      <c r="BH40" s="58">
        <f>('LCOE parameters'!$C$27*Assumptions!$B$9)*('LCOE parameters'!$C$23*Assumptions!$B$4)/'LCOE parameters'!$C$42</f>
        <v>136938880</v>
      </c>
      <c r="BI40" s="58">
        <f>('LCOE parameters'!$C$27*Assumptions!$B$9)*('LCOE parameters'!$C$23*Assumptions!$B$4)/'LCOE parameters'!$C$42</f>
        <v>136938880</v>
      </c>
      <c r="BJ40" s="58">
        <f>('LCOE parameters'!$C$27*Assumptions!$B$9)*('LCOE parameters'!$C$23*Assumptions!$B$4)/'LCOE parameters'!$C$42</f>
        <v>136938880</v>
      </c>
      <c r="BK40" s="58">
        <f>('LCOE parameters'!$C$27*Assumptions!$B$9)*('LCOE parameters'!$C$23*Assumptions!$B$4)/'LCOE parameters'!$C$42</f>
        <v>136938880</v>
      </c>
      <c r="BL40" s="58">
        <f>('LCOE parameters'!$C$27*Assumptions!$B$9)*('LCOE parameters'!$C$23*Assumptions!$B$4)/'LCOE parameters'!$C$42</f>
        <v>136938880</v>
      </c>
      <c r="BM40" s="58">
        <f>('LCOE parameters'!$C$27*Assumptions!$B$9)*('LCOE parameters'!$C$23*Assumptions!$B$4)/'LCOE parameters'!$C$42</f>
        <v>136938880</v>
      </c>
      <c r="BN40" s="58">
        <f>('LCOE parameters'!$C$27*Assumptions!$B$9)*('LCOE parameters'!$C$23*Assumptions!$B$4)/'LCOE parameters'!$C$42</f>
        <v>136938880</v>
      </c>
      <c r="BO40" s="58">
        <f>('LCOE parameters'!$C$27*Assumptions!$B$9)*('LCOE parameters'!$C$23*Assumptions!$B$4)/'LCOE parameters'!$C$42</f>
        <v>136938880</v>
      </c>
      <c r="BP40" s="58">
        <f>('LCOE parameters'!$C$27*Assumptions!$B$9)*('LCOE parameters'!$C$23*Assumptions!$B$4)/'LCOE parameters'!$C$42</f>
        <v>136938880</v>
      </c>
    </row>
    <row r="41" spans="1:75">
      <c r="A41" s="58" t="s">
        <v>190</v>
      </c>
      <c r="B41" s="58">
        <f>SUM(B39)*B51</f>
        <v>82163328</v>
      </c>
      <c r="C41" s="58">
        <f>SUM(B39:C39)*C51</f>
        <v>164326656</v>
      </c>
      <c r="D41" s="58">
        <f>SUM(B39:D39)*D51</f>
        <v>246489984.00000003</v>
      </c>
      <c r="E41" s="58">
        <f>SUM(B39:E39)*E51</f>
        <v>328653312</v>
      </c>
      <c r="F41" s="58">
        <f>SUM(B39:F39)*F51</f>
        <v>410816640</v>
      </c>
      <c r="G41" s="58">
        <f>SUM(B39:G39)*G51</f>
        <v>492979968</v>
      </c>
      <c r="H41" s="58">
        <f>SUM(B39:H39)*H51</f>
        <v>575143296</v>
      </c>
      <c r="I41" s="58">
        <f>SUM($B$39:$H$39)*I51</f>
        <v>575143296</v>
      </c>
      <c r="J41" s="58">
        <f>SUM(SUM($B$39:$H$39),-SUM(I40))*J51</f>
        <v>565557574.39999998</v>
      </c>
      <c r="K41" s="58">
        <f>SUM(SUM($B$39:$H$39),-SUM(I40:J40))*K51</f>
        <v>555971852.79999995</v>
      </c>
      <c r="L41" s="58">
        <f>SUM(SUM($B$39:$H$39),-SUM(I40:K40))*L51</f>
        <v>546386131.19999993</v>
      </c>
      <c r="M41" s="58">
        <f>SUM(SUM($B$39:$H$39),-SUM(I40:L40))*M51</f>
        <v>536800409.59999996</v>
      </c>
      <c r="N41" s="58">
        <f>SUM(SUM($B$39:$H$39),-SUM(I40:M40))*N51</f>
        <v>527214688</v>
      </c>
      <c r="O41" s="58">
        <f>SUM(SUM($B$39:$H$39),-SUM(I40:N40))*O51</f>
        <v>517628966.39999998</v>
      </c>
      <c r="P41" s="58">
        <f>SUM(SUM($B$39:$H$39),-SUM(I40:O40))*P51</f>
        <v>508043244.79999995</v>
      </c>
      <c r="Q41" s="58">
        <f>SUM(SUM($B$39:$H$39),-SUM(I40:P40))*Q51</f>
        <v>498457523.19999999</v>
      </c>
      <c r="R41" s="58">
        <f>SUM(SUM($B$39:$H$39),-SUM(I40:Q40))*R51</f>
        <v>488871801.59999996</v>
      </c>
      <c r="S41" s="58">
        <f>SUM(SUM($B$39:$H$39),-SUM(I40:R40))*S51</f>
        <v>479286080</v>
      </c>
      <c r="T41" s="58">
        <f>SUM(SUM($B$39:$H$39),-SUM(I40:S40))*T51</f>
        <v>469700358.39999998</v>
      </c>
      <c r="U41" s="58">
        <f>SUM(SUM($B$39:$H$39),-SUM(I40:T40))*U51</f>
        <v>460114636.79999995</v>
      </c>
      <c r="V41" s="58">
        <f>SUM(SUM($B$39:$H$39),-SUM(I40:U40))*V51</f>
        <v>450528915.19999999</v>
      </c>
      <c r="W41" s="58">
        <f>SUM(SUM($B$39:$H$39),-SUM(I40:V40))*W51</f>
        <v>440943193.59999996</v>
      </c>
      <c r="X41" s="58">
        <f>SUM(SUM($B$39:$H$39),-SUM(I40:W40))*X51</f>
        <v>431357472</v>
      </c>
      <c r="Y41" s="58">
        <f>SUM(SUM($B$39:$H$39),-SUM(I40:X40))*Y51</f>
        <v>421771750.39999998</v>
      </c>
      <c r="Z41" s="58">
        <f>SUM(SUM($B$39:$H$39),-SUM(I40:Y40))*Z51</f>
        <v>412186028.79999995</v>
      </c>
      <c r="AA41" s="58">
        <f>SUM(SUM($B$39:$H$39),-SUM(I40:Z40))*AA51</f>
        <v>402600307.19999999</v>
      </c>
      <c r="AB41" s="58">
        <f>SUM(SUM($B$39:$H$39),-SUM(I40:AA40))*AB51</f>
        <v>393014585.59999996</v>
      </c>
      <c r="AC41" s="58">
        <f>SUM(SUM($B$39:$H$39),-SUM(I40:AB40))*AC51</f>
        <v>383428863.99999994</v>
      </c>
      <c r="AD41" s="58">
        <f>SUM(SUM($B$39:$H$39),-SUM(I40:AC40))*AD51</f>
        <v>373843142.39999998</v>
      </c>
      <c r="AE41" s="58">
        <f>SUM(SUM($B$39:$H$39),-SUM(I40:AD40))*AE51</f>
        <v>364257420.79999995</v>
      </c>
      <c r="AF41" s="58">
        <f>SUM(SUM($B$39:$H$39),-SUM(I40:AE40))*AF51</f>
        <v>354671699.19999999</v>
      </c>
      <c r="AG41" s="58">
        <f>SUM(SUM($B$39:$H$39),-SUM(I40:AF40))*AG51</f>
        <v>345085977.59999996</v>
      </c>
      <c r="AH41" s="58">
        <f>SUM(SUM($B$39:$H$39),-SUM(I40:AG40))*AH51</f>
        <v>335500255.99999994</v>
      </c>
      <c r="AI41" s="58">
        <f>SUM(SUM($B$39:$H$39),-SUM(I40:AH40))*AI51</f>
        <v>325914534.39999998</v>
      </c>
      <c r="AJ41" s="58">
        <f>SUM(SUM($B$39:$H$39),-SUM(I40:AI40))*AJ51</f>
        <v>316328812.79999995</v>
      </c>
      <c r="AK41" s="58">
        <f>SUM(SUM($B$39:$H$39),-SUM(I40:AJ40))*AK51</f>
        <v>306743091.19999999</v>
      </c>
      <c r="AL41" s="58">
        <f>SUM(SUM($B$39:$H$39),-SUM(I40:AK40))*AL51</f>
        <v>297157369.59999996</v>
      </c>
      <c r="AM41" s="58">
        <f>SUM(SUM($B$39:$H$39),-SUM(I40:AL40))*AM51</f>
        <v>287571647.99999994</v>
      </c>
      <c r="AN41" s="58">
        <f>SUM(SUM($B$39:$H$39),-SUM(I40:AM40))*AN51</f>
        <v>277985926.39999998</v>
      </c>
      <c r="AO41" s="58">
        <f>SUM(SUM($B$39:$H$39),-SUM(I40:AN40))*AO51</f>
        <v>268400204.79999995</v>
      </c>
      <c r="AP41" s="58">
        <f>SUM(SUM($B$39:$H$39),-SUM(I40:AO40))*AP51</f>
        <v>258814483.19999996</v>
      </c>
      <c r="AQ41" s="58">
        <f>SUM(SUM($B$39:$H$39),-SUM(I40:AP40))*AQ51</f>
        <v>249228761.59999996</v>
      </c>
      <c r="AR41" s="58">
        <f>SUM(SUM($B$39:$H$39),-SUM(I40:AQ40))*AR51</f>
        <v>239643039.99999997</v>
      </c>
      <c r="AS41" s="58">
        <f>SUM(SUM($B$39:$H$39),-SUM(I40:AR40))*AS51</f>
        <v>230057318.39999995</v>
      </c>
      <c r="AT41" s="58">
        <f>SUM(SUM($B$39:$H$39),-SUM(I40:AS40))*AT51</f>
        <v>220471596.79999995</v>
      </c>
      <c r="AU41" s="58">
        <f>SUM(SUM($B$39:$H$39),-SUM(I40:AT40))*AU51</f>
        <v>210885875.19999996</v>
      </c>
      <c r="AV41" s="58">
        <f>SUM(SUM($B$39:$H$39),-SUM(I40:AU40))*AV51</f>
        <v>201300153.59999996</v>
      </c>
      <c r="AW41" s="58">
        <f>SUM(SUM($B$39:$H$39),-SUM(I40:AV40))*AW51</f>
        <v>191714431.99999994</v>
      </c>
      <c r="AX41" s="58">
        <f>SUM(SUM($B$39:$H$39),-SUM(I40:AW40))*AX51</f>
        <v>182128710.39999995</v>
      </c>
      <c r="AY41" s="58">
        <f>SUM(SUM($B$39:$H$39),-SUM(I40:AX40))*AY51</f>
        <v>172542988.79999995</v>
      </c>
      <c r="AZ41" s="58">
        <f>SUM(SUM($B$39:$H$39),-SUM(I40:AY40))*AZ51</f>
        <v>162957267.19999996</v>
      </c>
      <c r="BA41" s="58">
        <f>SUM(SUM($B$39:$H$39),-SUM(I40:AZ40))*BA51</f>
        <v>153371545.59999993</v>
      </c>
      <c r="BB41" s="58">
        <f>SUM(SUM($B$39:$H$39),-SUM(I40:BA40))*BB51</f>
        <v>143785823.99999994</v>
      </c>
      <c r="BC41" s="58">
        <f>SUM(SUM($B$39:$H$39),-SUM(I40:BB40))*BC51</f>
        <v>134200102.39999995</v>
      </c>
      <c r="BD41" s="58">
        <f>SUM(SUM($B$39:$H$39),-SUM(I40:BC40))*BD51</f>
        <v>124614380.79999995</v>
      </c>
      <c r="BE41" s="58">
        <f>SUM(SUM($B$39:$H$39),-SUM(I40:BD40))*BE51</f>
        <v>115028659.19999994</v>
      </c>
      <c r="BF41" s="58">
        <f>SUM(SUM($B$39:$H$39),-SUM(I40:BE40))*BF51</f>
        <v>105442937.59999995</v>
      </c>
      <c r="BG41" s="58">
        <f>SUM(SUM($B$39:$H$39),-SUM(I40:BF40))*BG51</f>
        <v>95857215.99999994</v>
      </c>
      <c r="BH41" s="58">
        <f>SUM(SUM($B$39:$H$39),-SUM(I40:BG40))*BH51</f>
        <v>86271494.399999946</v>
      </c>
      <c r="BI41" s="58">
        <f>SUM(SUM($B$39:$H$39),-SUM(I40:BH40))*BI51</f>
        <v>76685772.799999937</v>
      </c>
      <c r="BJ41" s="58">
        <f>SUM(SUM($B$39:$H$39),-SUM(I40:BI40))*BJ51</f>
        <v>67100051.199999936</v>
      </c>
      <c r="BK41" s="58">
        <f>SUM(SUM($B$39:$H$39),-SUM(I40:BJ40))*BK51</f>
        <v>57514329.599999942</v>
      </c>
      <c r="BL41" s="58">
        <f>SUM(SUM($B$39:$H$39),-SUM(I40:BK40))*BL51</f>
        <v>47928607.99999994</v>
      </c>
      <c r="BM41" s="58">
        <f>SUM(SUM($B$39:$H$39),-SUM(I40:BL40))*BM51</f>
        <v>38342886.399999939</v>
      </c>
      <c r="BN41" s="58">
        <f>SUM(SUM($B$39:$H$39),-SUM(I40:BM40))*BN51</f>
        <v>28757164.799999937</v>
      </c>
      <c r="BO41" s="58">
        <f>SUM(SUM($B$39:$H$39),-SUM(I40:BN40))*BO51</f>
        <v>19171443.199999936</v>
      </c>
      <c r="BP41" s="58">
        <f>SUM(SUM($B$39:$H$39),-SUM(I40:BO40))*BP51</f>
        <v>9585721.5999999344</v>
      </c>
    </row>
    <row r="42" spans="1:75">
      <c r="A42" s="58" t="s">
        <v>191</v>
      </c>
      <c r="I42" s="58">
        <f>('LCOE parameters'!$C$30*Assumptions!$B$12)*('LCOE parameters'!$C$23*Assumptions!$B$4)</f>
        <v>142400000</v>
      </c>
      <c r="J42" s="58">
        <f>('LCOE parameters'!$C$30*Assumptions!$B$12)*('LCOE parameters'!$C$23*Assumptions!$B$4)</f>
        <v>142400000</v>
      </c>
      <c r="K42" s="58">
        <f>('LCOE parameters'!$C$30*Assumptions!$B$12)*('LCOE parameters'!$C$23*Assumptions!$B$4)</f>
        <v>142400000</v>
      </c>
      <c r="L42" s="58">
        <f>('LCOE parameters'!$C$30*Assumptions!$B$12)*('LCOE parameters'!$C$23*Assumptions!$B$4)</f>
        <v>142400000</v>
      </c>
      <c r="M42" s="58">
        <f>('LCOE parameters'!$C$30*Assumptions!$B$12)*('LCOE parameters'!$C$23*Assumptions!$B$4)</f>
        <v>142400000</v>
      </c>
      <c r="N42" s="58">
        <f>('LCOE parameters'!$C$30*Assumptions!$B$12)*('LCOE parameters'!$C$23*Assumptions!$B$4)</f>
        <v>142400000</v>
      </c>
      <c r="O42" s="58">
        <f>('LCOE parameters'!$C$30*Assumptions!$B$12)*('LCOE parameters'!$C$23*Assumptions!$B$4)</f>
        <v>142400000</v>
      </c>
      <c r="P42" s="58">
        <f>('LCOE parameters'!$C$30*Assumptions!$B$12)*('LCOE parameters'!$C$23*Assumptions!$B$4)</f>
        <v>142400000</v>
      </c>
      <c r="Q42" s="58">
        <f>('LCOE parameters'!$C$30*Assumptions!$B$12)*('LCOE parameters'!$C$23*Assumptions!$B$4)</f>
        <v>142400000</v>
      </c>
      <c r="R42" s="58">
        <f>('LCOE parameters'!$C$30*Assumptions!$B$12)*('LCOE parameters'!$C$23*Assumptions!$B$4)</f>
        <v>142400000</v>
      </c>
      <c r="S42" s="58">
        <f>('LCOE parameters'!$C$30*Assumptions!$B$12)*('LCOE parameters'!$C$23*Assumptions!$B$4)</f>
        <v>142400000</v>
      </c>
      <c r="T42" s="58">
        <f>('LCOE parameters'!$C$30*Assumptions!$B$12)*('LCOE parameters'!$C$23*Assumptions!$B$4)</f>
        <v>142400000</v>
      </c>
      <c r="U42" s="58">
        <f>('LCOE parameters'!$C$30*Assumptions!$B$12)*('LCOE parameters'!$C$23*Assumptions!$B$4)</f>
        <v>142400000</v>
      </c>
      <c r="V42" s="58">
        <f>('LCOE parameters'!$C$30*Assumptions!$B$12)*('LCOE parameters'!$C$23*Assumptions!$B$4)</f>
        <v>142400000</v>
      </c>
      <c r="W42" s="58">
        <f>('LCOE parameters'!$C$30*Assumptions!$B$12)*('LCOE parameters'!$C$23*Assumptions!$B$4)</f>
        <v>142400000</v>
      </c>
      <c r="X42" s="58">
        <f>('LCOE parameters'!$C$30*Assumptions!$B$12)*('LCOE parameters'!$C$23*Assumptions!$B$4)</f>
        <v>142400000</v>
      </c>
      <c r="Y42" s="58">
        <f>('LCOE parameters'!$C$30*Assumptions!$B$12)*('LCOE parameters'!$C$23*Assumptions!$B$4)</f>
        <v>142400000</v>
      </c>
      <c r="Z42" s="58">
        <f>('LCOE parameters'!$C$30*Assumptions!$B$12)*('LCOE parameters'!$C$23*Assumptions!$B$4)</f>
        <v>142400000</v>
      </c>
      <c r="AA42" s="58">
        <f>('LCOE parameters'!$C$30*Assumptions!$B$12)*('LCOE parameters'!$C$23*Assumptions!$B$4)</f>
        <v>142400000</v>
      </c>
      <c r="AB42" s="58">
        <f>('LCOE parameters'!$C$30*Assumptions!$B$12)*('LCOE parameters'!$C$23*Assumptions!$B$4)</f>
        <v>142400000</v>
      </c>
      <c r="AC42" s="58">
        <f>('LCOE parameters'!$C$30*Assumptions!$B$12)*('LCOE parameters'!$C$23*Assumptions!$B$4)</f>
        <v>142400000</v>
      </c>
      <c r="AD42" s="58">
        <f>('LCOE parameters'!$C$30*Assumptions!$B$12)*('LCOE parameters'!$C$23*Assumptions!$B$4)</f>
        <v>142400000</v>
      </c>
      <c r="AE42" s="58">
        <f>('LCOE parameters'!$C$30*Assumptions!$B$12)*('LCOE parameters'!$C$23*Assumptions!$B$4)</f>
        <v>142400000</v>
      </c>
      <c r="AF42" s="58">
        <f>('LCOE parameters'!$C$30*Assumptions!$B$12)*('LCOE parameters'!$C$23*Assumptions!$B$4)</f>
        <v>142400000</v>
      </c>
      <c r="AG42" s="58">
        <f>('LCOE parameters'!$C$30*Assumptions!$B$12)*('LCOE parameters'!$C$23*Assumptions!$B$4)</f>
        <v>142400000</v>
      </c>
      <c r="AH42" s="58">
        <f>('LCOE parameters'!$C$30*Assumptions!$B$12)*('LCOE parameters'!$C$23*Assumptions!$B$4)</f>
        <v>142400000</v>
      </c>
      <c r="AI42" s="58">
        <f>('LCOE parameters'!$C$30*Assumptions!$B$12)*('LCOE parameters'!$C$23*Assumptions!$B$4)</f>
        <v>142400000</v>
      </c>
      <c r="AJ42" s="58">
        <f>('LCOE parameters'!$C$30*Assumptions!$B$12)*('LCOE parameters'!$C$23*Assumptions!$B$4)</f>
        <v>142400000</v>
      </c>
      <c r="AK42" s="58">
        <f>('LCOE parameters'!$C$30*Assumptions!$B$12)*('LCOE parameters'!$C$23*Assumptions!$B$4)</f>
        <v>142400000</v>
      </c>
      <c r="AL42" s="58">
        <f>('LCOE parameters'!$C$30*Assumptions!$B$12)*('LCOE parameters'!$C$23*Assumptions!$B$4)</f>
        <v>142400000</v>
      </c>
      <c r="AM42" s="58">
        <f>('LCOE parameters'!$C$30*Assumptions!$B$12)*('LCOE parameters'!$C$23*Assumptions!$B$4)</f>
        <v>142400000</v>
      </c>
      <c r="AN42" s="58">
        <f>('LCOE parameters'!$C$30*Assumptions!$B$12)*('LCOE parameters'!$C$23*Assumptions!$B$4)</f>
        <v>142400000</v>
      </c>
      <c r="AO42" s="58">
        <f>('LCOE parameters'!$C$30*Assumptions!$B$12)*('LCOE parameters'!$C$23*Assumptions!$B$4)</f>
        <v>142400000</v>
      </c>
      <c r="AP42" s="58">
        <f>('LCOE parameters'!$C$30*Assumptions!$B$12)*('LCOE parameters'!$C$23*Assumptions!$B$4)</f>
        <v>142400000</v>
      </c>
      <c r="AQ42" s="58">
        <f>('LCOE parameters'!$C$30*Assumptions!$B$12)*('LCOE parameters'!$C$23*Assumptions!$B$4)</f>
        <v>142400000</v>
      </c>
      <c r="AR42" s="58">
        <f>('LCOE parameters'!$C$30*Assumptions!$B$12)*('LCOE parameters'!$C$23*Assumptions!$B$4)</f>
        <v>142400000</v>
      </c>
      <c r="AS42" s="58">
        <f>('LCOE parameters'!$C$30*Assumptions!$B$12)*('LCOE parameters'!$C$23*Assumptions!$B$4)</f>
        <v>142400000</v>
      </c>
      <c r="AT42" s="58">
        <f>('LCOE parameters'!$C$30*Assumptions!$B$12)*('LCOE parameters'!$C$23*Assumptions!$B$4)</f>
        <v>142400000</v>
      </c>
      <c r="AU42" s="58">
        <f>('LCOE parameters'!$C$30*Assumptions!$B$12)*('LCOE parameters'!$C$23*Assumptions!$B$4)</f>
        <v>142400000</v>
      </c>
      <c r="AV42" s="58">
        <f>('LCOE parameters'!$C$30*Assumptions!$B$12)*('LCOE parameters'!$C$23*Assumptions!$B$4)</f>
        <v>142400000</v>
      </c>
      <c r="AW42" s="58">
        <f>('LCOE parameters'!$C$30*Assumptions!$B$12)*('LCOE parameters'!$C$23*Assumptions!$B$4)</f>
        <v>142400000</v>
      </c>
      <c r="AX42" s="58">
        <f>('LCOE parameters'!$C$30*Assumptions!$B$12)*('LCOE parameters'!$C$23*Assumptions!$B$4)</f>
        <v>142400000</v>
      </c>
      <c r="AY42" s="58">
        <f>('LCOE parameters'!$C$30*Assumptions!$B$12)*('LCOE parameters'!$C$23*Assumptions!$B$4)</f>
        <v>142400000</v>
      </c>
      <c r="AZ42" s="58">
        <f>('LCOE parameters'!$C$30*Assumptions!$B$12)*('LCOE parameters'!$C$23*Assumptions!$B$4)</f>
        <v>142400000</v>
      </c>
      <c r="BA42" s="58">
        <f>('LCOE parameters'!$C$30*Assumptions!$B$12)*('LCOE parameters'!$C$23*Assumptions!$B$4)</f>
        <v>142400000</v>
      </c>
      <c r="BB42" s="58">
        <f>('LCOE parameters'!$C$30*Assumptions!$B$12)*('LCOE parameters'!$C$23*Assumptions!$B$4)</f>
        <v>142400000</v>
      </c>
      <c r="BC42" s="58">
        <f>('LCOE parameters'!$C$30*Assumptions!$B$12)*('LCOE parameters'!$C$23*Assumptions!$B$4)</f>
        <v>142400000</v>
      </c>
      <c r="BD42" s="58">
        <f>('LCOE parameters'!$C$30*Assumptions!$B$12)*('LCOE parameters'!$C$23*Assumptions!$B$4)</f>
        <v>142400000</v>
      </c>
      <c r="BE42" s="58">
        <f>('LCOE parameters'!$C$30*Assumptions!$B$12)*('LCOE parameters'!$C$23*Assumptions!$B$4)</f>
        <v>142400000</v>
      </c>
      <c r="BF42" s="58">
        <f>('LCOE parameters'!$C$30*Assumptions!$B$12)*('LCOE parameters'!$C$23*Assumptions!$B$4)</f>
        <v>142400000</v>
      </c>
      <c r="BG42" s="58">
        <f>('LCOE parameters'!$C$30*Assumptions!$B$12)*('LCOE parameters'!$C$23*Assumptions!$B$4)</f>
        <v>142400000</v>
      </c>
      <c r="BH42" s="58">
        <f>('LCOE parameters'!$C$30*Assumptions!$B$12)*('LCOE parameters'!$C$23*Assumptions!$B$4)</f>
        <v>142400000</v>
      </c>
      <c r="BI42" s="58">
        <f>('LCOE parameters'!$C$30*Assumptions!$B$12)*('LCOE parameters'!$C$23*Assumptions!$B$4)</f>
        <v>142400000</v>
      </c>
      <c r="BJ42" s="58">
        <f>('LCOE parameters'!$C$30*Assumptions!$B$12)*('LCOE parameters'!$C$23*Assumptions!$B$4)</f>
        <v>142400000</v>
      </c>
      <c r="BK42" s="58">
        <f>('LCOE parameters'!$C$30*Assumptions!$B$12)*('LCOE parameters'!$C$23*Assumptions!$B$4)</f>
        <v>142400000</v>
      </c>
      <c r="BL42" s="58">
        <f>('LCOE parameters'!$C$30*Assumptions!$B$12)*('LCOE parameters'!$C$23*Assumptions!$B$4)</f>
        <v>142400000</v>
      </c>
      <c r="BM42" s="58">
        <f>('LCOE parameters'!$C$30*Assumptions!$B$12)*('LCOE parameters'!$C$23*Assumptions!$B$4)</f>
        <v>142400000</v>
      </c>
      <c r="BN42" s="58">
        <f>('LCOE parameters'!$C$30*Assumptions!$B$12)*('LCOE parameters'!$C$23*Assumptions!$B$4)</f>
        <v>142400000</v>
      </c>
      <c r="BO42" s="58">
        <f>('LCOE parameters'!$C$30*Assumptions!$B$12)*('LCOE parameters'!$C$23*Assumptions!$B$4)</f>
        <v>142400000</v>
      </c>
      <c r="BP42" s="58">
        <f>('LCOE parameters'!$C$30*Assumptions!$B$12)*('LCOE parameters'!$C$23*Assumptions!$B$4)</f>
        <v>142400000</v>
      </c>
    </row>
    <row r="43" spans="1:75">
      <c r="A43" s="58" t="s">
        <v>192</v>
      </c>
      <c r="I43" s="58">
        <f>('LCOE parameters'!$C$31*Assumptions!$B$13)*('LCOE parameters'!$C$23*Assumptions!$B$4)*('LCOE parameters'!$C$24*Assumptions!$B$6)</f>
        <v>38346540</v>
      </c>
      <c r="J43" s="58">
        <f>('LCOE parameters'!$C$31*Assumptions!$B$13)*('LCOE parameters'!$C$23*Assumptions!$B$4)*('LCOE parameters'!$C$24*Assumptions!$B$6)</f>
        <v>38346540</v>
      </c>
      <c r="K43" s="58">
        <f>('LCOE parameters'!$C$31*Assumptions!$B$13)*('LCOE parameters'!$C$23*Assumptions!$B$4)*('LCOE parameters'!$C$24*Assumptions!$B$6)</f>
        <v>38346540</v>
      </c>
      <c r="L43" s="58">
        <f>('LCOE parameters'!$C$31*Assumptions!$B$13)*('LCOE parameters'!$C$23*Assumptions!$B$4)*('LCOE parameters'!$C$24*Assumptions!$B$6)</f>
        <v>38346540</v>
      </c>
      <c r="M43" s="58">
        <f>('LCOE parameters'!$C$31*Assumptions!$B$13)*('LCOE parameters'!$C$23*Assumptions!$B$4)*('LCOE parameters'!$C$24*Assumptions!$B$6)</f>
        <v>38346540</v>
      </c>
      <c r="N43" s="58">
        <f>('LCOE parameters'!$C$31*Assumptions!$B$13)*('LCOE parameters'!$C$23*Assumptions!$B$4)*('LCOE parameters'!$C$24*Assumptions!$B$6)</f>
        <v>38346540</v>
      </c>
      <c r="O43" s="58">
        <f>('LCOE parameters'!$C$31*Assumptions!$B$13)*('LCOE parameters'!$C$23*Assumptions!$B$4)*('LCOE parameters'!$C$24*Assumptions!$B$6)</f>
        <v>38346540</v>
      </c>
      <c r="P43" s="58">
        <f>('LCOE parameters'!$C$31*Assumptions!$B$13)*('LCOE parameters'!$C$23*Assumptions!$B$4)*('LCOE parameters'!$C$24*Assumptions!$B$6)</f>
        <v>38346540</v>
      </c>
      <c r="Q43" s="58">
        <f>('LCOE parameters'!$C$31*Assumptions!$B$13)*('LCOE parameters'!$C$23*Assumptions!$B$4)*('LCOE parameters'!$C$24*Assumptions!$B$6)</f>
        <v>38346540</v>
      </c>
      <c r="R43" s="58">
        <f>('LCOE parameters'!$C$31*Assumptions!$B$13)*('LCOE parameters'!$C$23*Assumptions!$B$4)*('LCOE parameters'!$C$24*Assumptions!$B$6)</f>
        <v>38346540</v>
      </c>
      <c r="S43" s="58">
        <f>('LCOE parameters'!$C$31*Assumptions!$B$13)*('LCOE parameters'!$C$23*Assumptions!$B$4)*('LCOE parameters'!$C$24*Assumptions!$B$6)</f>
        <v>38346540</v>
      </c>
      <c r="T43" s="58">
        <f>('LCOE parameters'!$C$31*Assumptions!$B$13)*('LCOE parameters'!$C$23*Assumptions!$B$4)*('LCOE parameters'!$C$24*Assumptions!$B$6)</f>
        <v>38346540</v>
      </c>
      <c r="U43" s="58">
        <f>('LCOE parameters'!$C$31*Assumptions!$B$13)*('LCOE parameters'!$C$23*Assumptions!$B$4)*('LCOE parameters'!$C$24*Assumptions!$B$6)</f>
        <v>38346540</v>
      </c>
      <c r="V43" s="58">
        <f>('LCOE parameters'!$C$31*Assumptions!$B$13)*('LCOE parameters'!$C$23*Assumptions!$B$4)*('LCOE parameters'!$C$24*Assumptions!$B$6)</f>
        <v>38346540</v>
      </c>
      <c r="W43" s="58">
        <f>('LCOE parameters'!$C$31*Assumptions!$B$13)*('LCOE parameters'!$C$23*Assumptions!$B$4)*('LCOE parameters'!$C$24*Assumptions!$B$6)</f>
        <v>38346540</v>
      </c>
      <c r="X43" s="58">
        <f>('LCOE parameters'!$C$31*Assumptions!$B$13)*('LCOE parameters'!$C$23*Assumptions!$B$4)*('LCOE parameters'!$C$24*Assumptions!$B$6)</f>
        <v>38346540</v>
      </c>
      <c r="Y43" s="58">
        <f>('LCOE parameters'!$C$31*Assumptions!$B$13)*('LCOE parameters'!$C$23*Assumptions!$B$4)*('LCOE parameters'!$C$24*Assumptions!$B$6)</f>
        <v>38346540</v>
      </c>
      <c r="Z43" s="58">
        <f>('LCOE parameters'!$C$31*Assumptions!$B$13)*('LCOE parameters'!$C$23*Assumptions!$B$4)*('LCOE parameters'!$C$24*Assumptions!$B$6)</f>
        <v>38346540</v>
      </c>
      <c r="AA43" s="58">
        <f>('LCOE parameters'!$C$31*Assumptions!$B$13)*('LCOE parameters'!$C$23*Assumptions!$B$4)*('LCOE parameters'!$C$24*Assumptions!$B$6)</f>
        <v>38346540</v>
      </c>
      <c r="AB43" s="58">
        <f>('LCOE parameters'!$C$31*Assumptions!$B$13)*('LCOE parameters'!$C$23*Assumptions!$B$4)*('LCOE parameters'!$C$24*Assumptions!$B$6)</f>
        <v>38346540</v>
      </c>
      <c r="AC43" s="58">
        <f>('LCOE parameters'!$C$31*Assumptions!$B$13)*('LCOE parameters'!$C$23*Assumptions!$B$4)*('LCOE parameters'!$C$24*Assumptions!$B$6)</f>
        <v>38346540</v>
      </c>
      <c r="AD43" s="58">
        <f>('LCOE parameters'!$C$31*Assumptions!$B$13)*('LCOE parameters'!$C$23*Assumptions!$B$4)*('LCOE parameters'!$C$24*Assumptions!$B$6)</f>
        <v>38346540</v>
      </c>
      <c r="AE43" s="58">
        <f>('LCOE parameters'!$C$31*Assumptions!$B$13)*('LCOE parameters'!$C$23*Assumptions!$B$4)*('LCOE parameters'!$C$24*Assumptions!$B$6)</f>
        <v>38346540</v>
      </c>
      <c r="AF43" s="58">
        <f>('LCOE parameters'!$C$31*Assumptions!$B$13)*('LCOE parameters'!$C$23*Assumptions!$B$4)*('LCOE parameters'!$C$24*Assumptions!$B$6)</f>
        <v>38346540</v>
      </c>
      <c r="AG43" s="58">
        <f>('LCOE parameters'!$C$31*Assumptions!$B$13)*('LCOE parameters'!$C$23*Assumptions!$B$4)*('LCOE parameters'!$C$24*Assumptions!$B$6)</f>
        <v>38346540</v>
      </c>
      <c r="AH43" s="58">
        <f>('LCOE parameters'!$C$31*Assumptions!$B$13)*('LCOE parameters'!$C$23*Assumptions!$B$4)*('LCOE parameters'!$C$24*Assumptions!$B$6)</f>
        <v>38346540</v>
      </c>
      <c r="AI43" s="58">
        <f>('LCOE parameters'!$C$31*Assumptions!$B$13)*('LCOE parameters'!$C$23*Assumptions!$B$4)*('LCOE parameters'!$C$24*Assumptions!$B$6)</f>
        <v>38346540</v>
      </c>
      <c r="AJ43" s="58">
        <f>('LCOE parameters'!$C$31*Assumptions!$B$13)*('LCOE parameters'!$C$23*Assumptions!$B$4)*('LCOE parameters'!$C$24*Assumptions!$B$6)</f>
        <v>38346540</v>
      </c>
      <c r="AK43" s="58">
        <f>('LCOE parameters'!$C$31*Assumptions!$B$13)*('LCOE parameters'!$C$23*Assumptions!$B$4)*('LCOE parameters'!$C$24*Assumptions!$B$6)</f>
        <v>38346540</v>
      </c>
      <c r="AL43" s="58">
        <f>('LCOE parameters'!$C$31*Assumptions!$B$13)*('LCOE parameters'!$C$23*Assumptions!$B$4)*('LCOE parameters'!$C$24*Assumptions!$B$6)</f>
        <v>38346540</v>
      </c>
      <c r="AM43" s="58">
        <f>('LCOE parameters'!$C$31*Assumptions!$B$13)*('LCOE parameters'!$C$23*Assumptions!$B$4)*('LCOE parameters'!$C$24*Assumptions!$B$6)</f>
        <v>38346540</v>
      </c>
      <c r="AN43" s="58">
        <f>('LCOE parameters'!$C$31*Assumptions!$B$13)*('LCOE parameters'!$C$23*Assumptions!$B$4)*('LCOE parameters'!$C$24*Assumptions!$B$6)</f>
        <v>38346540</v>
      </c>
      <c r="AO43" s="58">
        <f>('LCOE parameters'!$C$31*Assumptions!$B$13)*('LCOE parameters'!$C$23*Assumptions!$B$4)*('LCOE parameters'!$C$24*Assumptions!$B$6)</f>
        <v>38346540</v>
      </c>
      <c r="AP43" s="58">
        <f>('LCOE parameters'!$C$31*Assumptions!$B$13)*('LCOE parameters'!$C$23*Assumptions!$B$4)*('LCOE parameters'!$C$24*Assumptions!$B$6)</f>
        <v>38346540</v>
      </c>
      <c r="AQ43" s="58">
        <f>('LCOE parameters'!$C$31*Assumptions!$B$13)*('LCOE parameters'!$C$23*Assumptions!$B$4)*('LCOE parameters'!$C$24*Assumptions!$B$6)</f>
        <v>38346540</v>
      </c>
      <c r="AR43" s="58">
        <f>('LCOE parameters'!$C$31*Assumptions!$B$13)*('LCOE parameters'!$C$23*Assumptions!$B$4)*('LCOE parameters'!$C$24*Assumptions!$B$6)</f>
        <v>38346540</v>
      </c>
      <c r="AS43" s="58">
        <f>('LCOE parameters'!$C$31*Assumptions!$B$13)*('LCOE parameters'!$C$23*Assumptions!$B$4)*('LCOE parameters'!$C$24*Assumptions!$B$6)</f>
        <v>38346540</v>
      </c>
      <c r="AT43" s="58">
        <f>('LCOE parameters'!$C$31*Assumptions!$B$13)*('LCOE parameters'!$C$23*Assumptions!$B$4)*('LCOE parameters'!$C$24*Assumptions!$B$6)</f>
        <v>38346540</v>
      </c>
      <c r="AU43" s="58">
        <f>('LCOE parameters'!$C$31*Assumptions!$B$13)*('LCOE parameters'!$C$23*Assumptions!$B$4)*('LCOE parameters'!$C$24*Assumptions!$B$6)</f>
        <v>38346540</v>
      </c>
      <c r="AV43" s="58">
        <f>('LCOE parameters'!$C$31*Assumptions!$B$13)*('LCOE parameters'!$C$23*Assumptions!$B$4)*('LCOE parameters'!$C$24*Assumptions!$B$6)</f>
        <v>38346540</v>
      </c>
      <c r="AW43" s="58">
        <f>('LCOE parameters'!$C$31*Assumptions!$B$13)*('LCOE parameters'!$C$23*Assumptions!$B$4)*('LCOE parameters'!$C$24*Assumptions!$B$6)</f>
        <v>38346540</v>
      </c>
      <c r="AX43" s="58">
        <f>('LCOE parameters'!$C$31*Assumptions!$B$13)*('LCOE parameters'!$C$23*Assumptions!$B$4)*('LCOE parameters'!$C$24*Assumptions!$B$6)</f>
        <v>38346540</v>
      </c>
      <c r="AY43" s="58">
        <f>('LCOE parameters'!$C$31*Assumptions!$B$13)*('LCOE parameters'!$C$23*Assumptions!$B$4)*('LCOE parameters'!$C$24*Assumptions!$B$6)</f>
        <v>38346540</v>
      </c>
      <c r="AZ43" s="58">
        <f>('LCOE parameters'!$C$31*Assumptions!$B$13)*('LCOE parameters'!$C$23*Assumptions!$B$4)*('LCOE parameters'!$C$24*Assumptions!$B$6)</f>
        <v>38346540</v>
      </c>
      <c r="BA43" s="58">
        <f>('LCOE parameters'!$C$31*Assumptions!$B$13)*('LCOE parameters'!$C$23*Assumptions!$B$4)*('LCOE parameters'!$C$24*Assumptions!$B$6)</f>
        <v>38346540</v>
      </c>
      <c r="BB43" s="58">
        <f>('LCOE parameters'!$C$31*Assumptions!$B$13)*('LCOE parameters'!$C$23*Assumptions!$B$4)*('LCOE parameters'!$C$24*Assumptions!$B$6)</f>
        <v>38346540</v>
      </c>
      <c r="BC43" s="58">
        <f>('LCOE parameters'!$C$31*Assumptions!$B$13)*('LCOE parameters'!$C$23*Assumptions!$B$4)*('LCOE parameters'!$C$24*Assumptions!$B$6)</f>
        <v>38346540</v>
      </c>
      <c r="BD43" s="58">
        <f>('LCOE parameters'!$C$31*Assumptions!$B$13)*('LCOE parameters'!$C$23*Assumptions!$B$4)*('LCOE parameters'!$C$24*Assumptions!$B$6)</f>
        <v>38346540</v>
      </c>
      <c r="BE43" s="58">
        <f>('LCOE parameters'!$C$31*Assumptions!$B$13)*('LCOE parameters'!$C$23*Assumptions!$B$4)*('LCOE parameters'!$C$24*Assumptions!$B$6)</f>
        <v>38346540</v>
      </c>
      <c r="BF43" s="58">
        <f>('LCOE parameters'!$C$31*Assumptions!$B$13)*('LCOE parameters'!$C$23*Assumptions!$B$4)*('LCOE parameters'!$C$24*Assumptions!$B$6)</f>
        <v>38346540</v>
      </c>
      <c r="BG43" s="58">
        <f>('LCOE parameters'!$C$31*Assumptions!$B$13)*('LCOE parameters'!$C$23*Assumptions!$B$4)*('LCOE parameters'!$C$24*Assumptions!$B$6)</f>
        <v>38346540</v>
      </c>
      <c r="BH43" s="58">
        <f>('LCOE parameters'!$C$31*Assumptions!$B$13)*('LCOE parameters'!$C$23*Assumptions!$B$4)*('LCOE parameters'!$C$24*Assumptions!$B$6)</f>
        <v>38346540</v>
      </c>
      <c r="BI43" s="58">
        <f>('LCOE parameters'!$C$31*Assumptions!$B$13)*('LCOE parameters'!$C$23*Assumptions!$B$4)*('LCOE parameters'!$C$24*Assumptions!$B$6)</f>
        <v>38346540</v>
      </c>
      <c r="BJ43" s="58">
        <f>('LCOE parameters'!$C$31*Assumptions!$B$13)*('LCOE parameters'!$C$23*Assumptions!$B$4)*('LCOE parameters'!$C$24*Assumptions!$B$6)</f>
        <v>38346540</v>
      </c>
      <c r="BK43" s="58">
        <f>('LCOE parameters'!$C$31*Assumptions!$B$13)*('LCOE parameters'!$C$23*Assumptions!$B$4)*('LCOE parameters'!$C$24*Assumptions!$B$6)</f>
        <v>38346540</v>
      </c>
      <c r="BL43" s="58">
        <f>('LCOE parameters'!$C$31*Assumptions!$B$13)*('LCOE parameters'!$C$23*Assumptions!$B$4)*('LCOE parameters'!$C$24*Assumptions!$B$6)</f>
        <v>38346540</v>
      </c>
      <c r="BM43" s="58">
        <f>('LCOE parameters'!$C$31*Assumptions!$B$13)*('LCOE parameters'!$C$23*Assumptions!$B$4)*('LCOE parameters'!$C$24*Assumptions!$B$6)</f>
        <v>38346540</v>
      </c>
      <c r="BN43" s="58">
        <f>('LCOE parameters'!$C$31*Assumptions!$B$13)*('LCOE parameters'!$C$23*Assumptions!$B$4)*('LCOE parameters'!$C$24*Assumptions!$B$6)</f>
        <v>38346540</v>
      </c>
      <c r="BO43" s="58">
        <f>('LCOE parameters'!$C$31*Assumptions!$B$13)*('LCOE parameters'!$C$23*Assumptions!$B$4)*('LCOE parameters'!$C$24*Assumptions!$B$6)</f>
        <v>38346540</v>
      </c>
      <c r="BP43" s="58">
        <f>('LCOE parameters'!$C$31*Assumptions!$B$13)*('LCOE parameters'!$C$23*Assumptions!$B$4)*('LCOE parameters'!$C$24*Assumptions!$B$6)</f>
        <v>38346540</v>
      </c>
    </row>
    <row r="44" spans="1:75">
      <c r="A44" s="58" t="s">
        <v>194</v>
      </c>
      <c r="I44" s="58">
        <f>('LCOE parameters'!$C$32*Assumptions!$B$14)*('LCOE parameters'!$C$23*Assumptions!$B$4)*('LCOE parameters'!$C$24*Assumptions!$B$6)</f>
        <v>32361112.000000004</v>
      </c>
      <c r="J44" s="58">
        <f>('LCOE parameters'!$C$32*Assumptions!$B$14)*('LCOE parameters'!$C$23*Assumptions!$B$4)*('LCOE parameters'!$C$24*Assumptions!$B$6)</f>
        <v>32361112.000000004</v>
      </c>
      <c r="K44" s="58">
        <f>('LCOE parameters'!$C$32*Assumptions!$B$14)*('LCOE parameters'!$C$23*Assumptions!$B$4)*('LCOE parameters'!$C$24*Assumptions!$B$6)</f>
        <v>32361112.000000004</v>
      </c>
      <c r="L44" s="58">
        <f>('LCOE parameters'!$C$32*Assumptions!$B$14)*('LCOE parameters'!$C$23*Assumptions!$B$4)*('LCOE parameters'!$C$24*Assumptions!$B$6)</f>
        <v>32361112.000000004</v>
      </c>
      <c r="M44" s="58">
        <f>('LCOE parameters'!$C$32*Assumptions!$B$14)*('LCOE parameters'!$C$23*Assumptions!$B$4)*('LCOE parameters'!$C$24*Assumptions!$B$6)</f>
        <v>32361112.000000004</v>
      </c>
      <c r="N44" s="58">
        <f>('LCOE parameters'!$C$32*Assumptions!$B$14)*('LCOE parameters'!$C$23*Assumptions!$B$4)*('LCOE parameters'!$C$24*Assumptions!$B$6)</f>
        <v>32361112.000000004</v>
      </c>
      <c r="O44" s="58">
        <f>('LCOE parameters'!$C$32*Assumptions!$B$14)*('LCOE parameters'!$C$23*Assumptions!$B$4)*('LCOE parameters'!$C$24*Assumptions!$B$6)</f>
        <v>32361112.000000004</v>
      </c>
      <c r="P44" s="58">
        <f>('LCOE parameters'!$C$32*Assumptions!$B$14)*('LCOE parameters'!$C$23*Assumptions!$B$4)*('LCOE parameters'!$C$24*Assumptions!$B$6)</f>
        <v>32361112.000000004</v>
      </c>
      <c r="Q44" s="58">
        <f>('LCOE parameters'!$C$32*Assumptions!$B$14)*('LCOE parameters'!$C$23*Assumptions!$B$4)*('LCOE parameters'!$C$24*Assumptions!$B$6)</f>
        <v>32361112.000000004</v>
      </c>
      <c r="R44" s="58">
        <f>('LCOE parameters'!$C$32*Assumptions!$B$14)*('LCOE parameters'!$C$23*Assumptions!$B$4)*('LCOE parameters'!$C$24*Assumptions!$B$6)</f>
        <v>32361112.000000004</v>
      </c>
      <c r="S44" s="58">
        <f>('LCOE parameters'!$C$32*Assumptions!$B$14)*('LCOE parameters'!$C$23*Assumptions!$B$4)*('LCOE parameters'!$C$24*Assumptions!$B$6)</f>
        <v>32361112.000000004</v>
      </c>
      <c r="T44" s="58">
        <f>('LCOE parameters'!$C$32*Assumptions!$B$14)*('LCOE parameters'!$C$23*Assumptions!$B$4)*('LCOE parameters'!$C$24*Assumptions!$B$6)</f>
        <v>32361112.000000004</v>
      </c>
      <c r="U44" s="58">
        <f>('LCOE parameters'!$C$32*Assumptions!$B$14)*('LCOE parameters'!$C$23*Assumptions!$B$4)*('LCOE parameters'!$C$24*Assumptions!$B$6)</f>
        <v>32361112.000000004</v>
      </c>
      <c r="V44" s="58">
        <f>('LCOE parameters'!$C$32*Assumptions!$B$14)*('LCOE parameters'!$C$23*Assumptions!$B$4)*('LCOE parameters'!$C$24*Assumptions!$B$6)</f>
        <v>32361112.000000004</v>
      </c>
      <c r="W44" s="58">
        <f>('LCOE parameters'!$C$32*Assumptions!$B$14)*('LCOE parameters'!$C$23*Assumptions!$B$4)*('LCOE parameters'!$C$24*Assumptions!$B$6)</f>
        <v>32361112.000000004</v>
      </c>
      <c r="X44" s="58">
        <f>('LCOE parameters'!$C$32*Assumptions!$B$14)*('LCOE parameters'!$C$23*Assumptions!$B$4)*('LCOE parameters'!$C$24*Assumptions!$B$6)</f>
        <v>32361112.000000004</v>
      </c>
      <c r="Y44" s="58">
        <f>('LCOE parameters'!$C$32*Assumptions!$B$14)*('LCOE parameters'!$C$23*Assumptions!$B$4)*('LCOE parameters'!$C$24*Assumptions!$B$6)</f>
        <v>32361112.000000004</v>
      </c>
      <c r="Z44" s="58">
        <f>('LCOE parameters'!$C$32*Assumptions!$B$14)*('LCOE parameters'!$C$23*Assumptions!$B$4)*('LCOE parameters'!$C$24*Assumptions!$B$6)</f>
        <v>32361112.000000004</v>
      </c>
      <c r="AA44" s="58">
        <f>('LCOE parameters'!$C$32*Assumptions!$B$14)*('LCOE parameters'!$C$23*Assumptions!$B$4)*('LCOE parameters'!$C$24*Assumptions!$B$6)</f>
        <v>32361112.000000004</v>
      </c>
      <c r="AB44" s="58">
        <f>('LCOE parameters'!$C$32*Assumptions!$B$14)*('LCOE parameters'!$C$23*Assumptions!$B$4)*('LCOE parameters'!$C$24*Assumptions!$B$6)</f>
        <v>32361112.000000004</v>
      </c>
      <c r="AC44" s="58">
        <f>('LCOE parameters'!$C$32*Assumptions!$B$14)*('LCOE parameters'!$C$23*Assumptions!$B$4)*('LCOE parameters'!$C$24*Assumptions!$B$6)</f>
        <v>32361112.000000004</v>
      </c>
      <c r="AD44" s="58">
        <f>('LCOE parameters'!$C$32*Assumptions!$B$14)*('LCOE parameters'!$C$23*Assumptions!$B$4)*('LCOE parameters'!$C$24*Assumptions!$B$6)</f>
        <v>32361112.000000004</v>
      </c>
      <c r="AE44" s="58">
        <f>('LCOE parameters'!$C$32*Assumptions!$B$14)*('LCOE parameters'!$C$23*Assumptions!$B$4)*('LCOE parameters'!$C$24*Assumptions!$B$6)</f>
        <v>32361112.000000004</v>
      </c>
      <c r="AF44" s="58">
        <f>('LCOE parameters'!$C$32*Assumptions!$B$14)*('LCOE parameters'!$C$23*Assumptions!$B$4)*('LCOE parameters'!$C$24*Assumptions!$B$6)</f>
        <v>32361112.000000004</v>
      </c>
      <c r="AG44" s="58">
        <f>('LCOE parameters'!$C$32*Assumptions!$B$14)*('LCOE parameters'!$C$23*Assumptions!$B$4)*('LCOE parameters'!$C$24*Assumptions!$B$6)</f>
        <v>32361112.000000004</v>
      </c>
      <c r="AH44" s="58">
        <f>('LCOE parameters'!$C$32*Assumptions!$B$14)*('LCOE parameters'!$C$23*Assumptions!$B$4)*('LCOE parameters'!$C$24*Assumptions!$B$6)</f>
        <v>32361112.000000004</v>
      </c>
      <c r="AI44" s="58">
        <f>('LCOE parameters'!$C$32*Assumptions!$B$14)*('LCOE parameters'!$C$23*Assumptions!$B$4)*('LCOE parameters'!$C$24*Assumptions!$B$6)</f>
        <v>32361112.000000004</v>
      </c>
      <c r="AJ44" s="58">
        <f>('LCOE parameters'!$C$32*Assumptions!$B$14)*('LCOE parameters'!$C$23*Assumptions!$B$4)*('LCOE parameters'!$C$24*Assumptions!$B$6)</f>
        <v>32361112.000000004</v>
      </c>
      <c r="AK44" s="58">
        <f>('LCOE parameters'!$C$32*Assumptions!$B$14)*('LCOE parameters'!$C$23*Assumptions!$B$4)*('LCOE parameters'!$C$24*Assumptions!$B$6)</f>
        <v>32361112.000000004</v>
      </c>
      <c r="AL44" s="58">
        <f>('LCOE parameters'!$C$32*Assumptions!$B$14)*('LCOE parameters'!$C$23*Assumptions!$B$4)*('LCOE parameters'!$C$24*Assumptions!$B$6)</f>
        <v>32361112.000000004</v>
      </c>
      <c r="AM44" s="58">
        <f>('LCOE parameters'!$C$32*Assumptions!$B$14)*('LCOE parameters'!$C$23*Assumptions!$B$4)*('LCOE parameters'!$C$24*Assumptions!$B$6)</f>
        <v>32361112.000000004</v>
      </c>
      <c r="AN44" s="58">
        <f>('LCOE parameters'!$C$32*Assumptions!$B$14)*('LCOE parameters'!$C$23*Assumptions!$B$4)*('LCOE parameters'!$C$24*Assumptions!$B$6)</f>
        <v>32361112.000000004</v>
      </c>
      <c r="AO44" s="58">
        <f>('LCOE parameters'!$C$32*Assumptions!$B$14)*('LCOE parameters'!$C$23*Assumptions!$B$4)*('LCOE parameters'!$C$24*Assumptions!$B$6)</f>
        <v>32361112.000000004</v>
      </c>
      <c r="AP44" s="58">
        <f>('LCOE parameters'!$C$32*Assumptions!$B$14)*('LCOE parameters'!$C$23*Assumptions!$B$4)*('LCOE parameters'!$C$24*Assumptions!$B$6)</f>
        <v>32361112.000000004</v>
      </c>
      <c r="AQ44" s="58">
        <f>('LCOE parameters'!$C$32*Assumptions!$B$14)*('LCOE parameters'!$C$23*Assumptions!$B$4)*('LCOE parameters'!$C$24*Assumptions!$B$6)</f>
        <v>32361112.000000004</v>
      </c>
      <c r="AR44" s="58">
        <f>('LCOE parameters'!$C$32*Assumptions!$B$14)*('LCOE parameters'!$C$23*Assumptions!$B$4)*('LCOE parameters'!$C$24*Assumptions!$B$6)</f>
        <v>32361112.000000004</v>
      </c>
      <c r="AS44" s="58">
        <f>('LCOE parameters'!$C$32*Assumptions!$B$14)*('LCOE parameters'!$C$23*Assumptions!$B$4)*('LCOE parameters'!$C$24*Assumptions!$B$6)</f>
        <v>32361112.000000004</v>
      </c>
      <c r="AT44" s="58">
        <f>('LCOE parameters'!$C$32*Assumptions!$B$14)*('LCOE parameters'!$C$23*Assumptions!$B$4)*('LCOE parameters'!$C$24*Assumptions!$B$6)</f>
        <v>32361112.000000004</v>
      </c>
      <c r="AU44" s="58">
        <f>('LCOE parameters'!$C$32*Assumptions!$B$14)*('LCOE parameters'!$C$23*Assumptions!$B$4)*('LCOE parameters'!$C$24*Assumptions!$B$6)</f>
        <v>32361112.000000004</v>
      </c>
      <c r="AV44" s="58">
        <f>('LCOE parameters'!$C$32*Assumptions!$B$14)*('LCOE parameters'!$C$23*Assumptions!$B$4)*('LCOE parameters'!$C$24*Assumptions!$B$6)</f>
        <v>32361112.000000004</v>
      </c>
      <c r="AW44" s="58">
        <f>('LCOE parameters'!$C$32*Assumptions!$B$14)*('LCOE parameters'!$C$23*Assumptions!$B$4)*('LCOE parameters'!$C$24*Assumptions!$B$6)</f>
        <v>32361112.000000004</v>
      </c>
      <c r="AX44" s="58">
        <f>('LCOE parameters'!$C$32*Assumptions!$B$14)*('LCOE parameters'!$C$23*Assumptions!$B$4)*('LCOE parameters'!$C$24*Assumptions!$B$6)</f>
        <v>32361112.000000004</v>
      </c>
      <c r="AY44" s="58">
        <f>('LCOE parameters'!$C$32*Assumptions!$B$14)*('LCOE parameters'!$C$23*Assumptions!$B$4)*('LCOE parameters'!$C$24*Assumptions!$B$6)</f>
        <v>32361112.000000004</v>
      </c>
      <c r="AZ44" s="58">
        <f>('LCOE parameters'!$C$32*Assumptions!$B$14)*('LCOE parameters'!$C$23*Assumptions!$B$4)*('LCOE parameters'!$C$24*Assumptions!$B$6)</f>
        <v>32361112.000000004</v>
      </c>
      <c r="BA44" s="58">
        <f>('LCOE parameters'!$C$32*Assumptions!$B$14)*('LCOE parameters'!$C$23*Assumptions!$B$4)*('LCOE parameters'!$C$24*Assumptions!$B$6)</f>
        <v>32361112.000000004</v>
      </c>
      <c r="BB44" s="58">
        <f>('LCOE parameters'!$C$32*Assumptions!$B$14)*('LCOE parameters'!$C$23*Assumptions!$B$4)*('LCOE parameters'!$C$24*Assumptions!$B$6)</f>
        <v>32361112.000000004</v>
      </c>
      <c r="BC44" s="58">
        <f>('LCOE parameters'!$C$32*Assumptions!$B$14)*('LCOE parameters'!$C$23*Assumptions!$B$4)*('LCOE parameters'!$C$24*Assumptions!$B$6)</f>
        <v>32361112.000000004</v>
      </c>
      <c r="BD44" s="58">
        <f>('LCOE parameters'!$C$32*Assumptions!$B$14)*('LCOE parameters'!$C$23*Assumptions!$B$4)*('LCOE parameters'!$C$24*Assumptions!$B$6)</f>
        <v>32361112.000000004</v>
      </c>
      <c r="BE44" s="58">
        <f>('LCOE parameters'!$C$32*Assumptions!$B$14)*('LCOE parameters'!$C$23*Assumptions!$B$4)*('LCOE parameters'!$C$24*Assumptions!$B$6)</f>
        <v>32361112.000000004</v>
      </c>
      <c r="BF44" s="58">
        <f>('LCOE parameters'!$C$32*Assumptions!$B$14)*('LCOE parameters'!$C$23*Assumptions!$B$4)*('LCOE parameters'!$C$24*Assumptions!$B$6)</f>
        <v>32361112.000000004</v>
      </c>
      <c r="BG44" s="58">
        <f>('LCOE parameters'!$C$32*Assumptions!$B$14)*('LCOE parameters'!$C$23*Assumptions!$B$4)*('LCOE parameters'!$C$24*Assumptions!$B$6)</f>
        <v>32361112.000000004</v>
      </c>
      <c r="BH44" s="58">
        <f>('LCOE parameters'!$C$32*Assumptions!$B$14)*('LCOE parameters'!$C$23*Assumptions!$B$4)*('LCOE parameters'!$C$24*Assumptions!$B$6)</f>
        <v>32361112.000000004</v>
      </c>
      <c r="BI44" s="58">
        <f>('LCOE parameters'!$C$32*Assumptions!$B$14)*('LCOE parameters'!$C$23*Assumptions!$B$4)*('LCOE parameters'!$C$24*Assumptions!$B$6)</f>
        <v>32361112.000000004</v>
      </c>
      <c r="BJ44" s="58">
        <f>('LCOE parameters'!$C$32*Assumptions!$B$14)*('LCOE parameters'!$C$23*Assumptions!$B$4)*('LCOE parameters'!$C$24*Assumptions!$B$6)</f>
        <v>32361112.000000004</v>
      </c>
      <c r="BK44" s="58">
        <f>('LCOE parameters'!$C$32*Assumptions!$B$14)*('LCOE parameters'!$C$23*Assumptions!$B$4)*('LCOE parameters'!$C$24*Assumptions!$B$6)</f>
        <v>32361112.000000004</v>
      </c>
      <c r="BL44" s="58">
        <f>('LCOE parameters'!$C$32*Assumptions!$B$14)*('LCOE parameters'!$C$23*Assumptions!$B$4)*('LCOE parameters'!$C$24*Assumptions!$B$6)</f>
        <v>32361112.000000004</v>
      </c>
      <c r="BM44" s="58">
        <f>('LCOE parameters'!$C$32*Assumptions!$B$14)*('LCOE parameters'!$C$23*Assumptions!$B$4)*('LCOE parameters'!$C$24*Assumptions!$B$6)</f>
        <v>32361112.000000004</v>
      </c>
      <c r="BN44" s="58">
        <f>('LCOE parameters'!$C$32*Assumptions!$B$14)*('LCOE parameters'!$C$23*Assumptions!$B$4)*('LCOE parameters'!$C$24*Assumptions!$B$6)</f>
        <v>32361112.000000004</v>
      </c>
      <c r="BO44" s="58">
        <f>('LCOE parameters'!$C$32*Assumptions!$B$14)*('LCOE parameters'!$C$23*Assumptions!$B$4)*('LCOE parameters'!$C$24*Assumptions!$B$6)</f>
        <v>32361112.000000004</v>
      </c>
      <c r="BP44" s="58">
        <f>('LCOE parameters'!$C$32*Assumptions!$B$14)*('LCOE parameters'!$C$23*Assumptions!$B$4)*('LCOE parameters'!$C$24*Assumptions!$B$6)</f>
        <v>32361112.000000004</v>
      </c>
    </row>
    <row r="45" spans="1:75">
      <c r="A45" s="61" t="s">
        <v>195</v>
      </c>
      <c r="I45" s="58">
        <f>SUM(('LCOE parameters'!$C$33*'LCOE parameters'!$C$23*'LCOE parameters'!$C$24),('LCOE parameters'!$C$34*'LCOE parameters'!$C$23*'LCOE parameters'!$C$24),('LCOE parameters'!$C$35*'LCOE parameters'!$C$23*'LCOE parameters'!$C$24),('LCOE parameters'!$C$36*'LCOE parameters'!$C$23*'LCOE parameters'!$C$24))</f>
        <v>0</v>
      </c>
      <c r="J45" s="58">
        <f>SUM(('LCOE parameters'!$C$33*'LCOE parameters'!$C$23*'LCOE parameters'!$C$24),('LCOE parameters'!$C$34*'LCOE parameters'!$C$23*'LCOE parameters'!$C$24),('LCOE parameters'!$C$35*'LCOE parameters'!$C$23*'LCOE parameters'!$C$24),('LCOE parameters'!$C$36*'LCOE parameters'!$C$23*'LCOE parameters'!$C$24))</f>
        <v>0</v>
      </c>
      <c r="K45" s="58">
        <f>SUM(('LCOE parameters'!$C$33*'LCOE parameters'!$C$23*'LCOE parameters'!$C$24),('LCOE parameters'!$C$34*'LCOE parameters'!$C$23*'LCOE parameters'!$C$24),('LCOE parameters'!$C$35*'LCOE parameters'!$C$23*'LCOE parameters'!$C$24),('LCOE parameters'!$C$36*'LCOE parameters'!$C$23*'LCOE parameters'!$C$24))</f>
        <v>0</v>
      </c>
      <c r="L45" s="58">
        <f>SUM(('LCOE parameters'!$C$33*'LCOE parameters'!$C$23*'LCOE parameters'!$C$24),('LCOE parameters'!$C$34*'LCOE parameters'!$C$23*'LCOE parameters'!$C$24),('LCOE parameters'!$C$35*'LCOE parameters'!$C$23*'LCOE parameters'!$C$24),('LCOE parameters'!$C$36*'LCOE parameters'!$C$23*'LCOE parameters'!$C$24))</f>
        <v>0</v>
      </c>
      <c r="M45" s="58">
        <f>SUM(('LCOE parameters'!$C$33*'LCOE parameters'!$C$23*'LCOE parameters'!$C$24),('LCOE parameters'!$C$34*'LCOE parameters'!$C$23*'LCOE parameters'!$C$24),('LCOE parameters'!$C$35*'LCOE parameters'!$C$23*'LCOE parameters'!$C$24),('LCOE parameters'!$C$36*'LCOE parameters'!$C$23*'LCOE parameters'!$C$24))</f>
        <v>0</v>
      </c>
      <c r="N45" s="58">
        <f>SUM(('LCOE parameters'!$C$33*'LCOE parameters'!$C$23*'LCOE parameters'!$C$24),('LCOE parameters'!$C$34*'LCOE parameters'!$C$23*'LCOE parameters'!$C$24),('LCOE parameters'!$C$35*'LCOE parameters'!$C$23*'LCOE parameters'!$C$24),('LCOE parameters'!$C$36*'LCOE parameters'!$C$23*'LCOE parameters'!$C$24))</f>
        <v>0</v>
      </c>
      <c r="O45" s="58">
        <f>SUM(('LCOE parameters'!$C$33*'LCOE parameters'!$C$23*'LCOE parameters'!$C$24),('LCOE parameters'!$C$34*'LCOE parameters'!$C$23*'LCOE parameters'!$C$24),('LCOE parameters'!$C$35*'LCOE parameters'!$C$23*'LCOE parameters'!$C$24),('LCOE parameters'!$C$36*'LCOE parameters'!$C$23*'LCOE parameters'!$C$24))</f>
        <v>0</v>
      </c>
      <c r="P45" s="58">
        <f>SUM(('LCOE parameters'!$C$33*'LCOE parameters'!$C$23*'LCOE parameters'!$C$24),('LCOE parameters'!$C$34*'LCOE parameters'!$C$23*'LCOE parameters'!$C$24),('LCOE parameters'!$C$35*'LCOE parameters'!$C$23*'LCOE parameters'!$C$24),('LCOE parameters'!$C$36*'LCOE parameters'!$C$23*'LCOE parameters'!$C$24))</f>
        <v>0</v>
      </c>
      <c r="Q45" s="58">
        <f>SUM(('LCOE parameters'!$C$33*'LCOE parameters'!$C$23*'LCOE parameters'!$C$24),('LCOE parameters'!$C$34*'LCOE parameters'!$C$23*'LCOE parameters'!$C$24),('LCOE parameters'!$C$35*'LCOE parameters'!$C$23*'LCOE parameters'!$C$24),('LCOE parameters'!$C$36*'LCOE parameters'!$C$23*'LCOE parameters'!$C$24))</f>
        <v>0</v>
      </c>
      <c r="R45" s="58">
        <f>SUM(('LCOE parameters'!$C$33*'LCOE parameters'!$C$23*'LCOE parameters'!$C$24),('LCOE parameters'!$C$34*'LCOE parameters'!$C$23*'LCOE parameters'!$C$24),('LCOE parameters'!$C$35*'LCOE parameters'!$C$23*'LCOE parameters'!$C$24),('LCOE parameters'!$C$36*'LCOE parameters'!$C$23*'LCOE parameters'!$C$24))</f>
        <v>0</v>
      </c>
      <c r="S45" s="58">
        <f>SUM(('LCOE parameters'!$C$33*'LCOE parameters'!$C$23*'LCOE parameters'!$C$24),('LCOE parameters'!$C$34*'LCOE parameters'!$C$23*'LCOE parameters'!$C$24),('LCOE parameters'!$C$35*'LCOE parameters'!$C$23*'LCOE parameters'!$C$24),('LCOE parameters'!$C$36*'LCOE parameters'!$C$23*'LCOE parameters'!$C$24))</f>
        <v>0</v>
      </c>
      <c r="T45" s="58">
        <f>SUM(('LCOE parameters'!$C$33*'LCOE parameters'!$C$23*'LCOE parameters'!$C$24),('LCOE parameters'!$C$34*'LCOE parameters'!$C$23*'LCOE parameters'!$C$24),('LCOE parameters'!$C$35*'LCOE parameters'!$C$23*'LCOE parameters'!$C$24),('LCOE parameters'!$C$36*'LCOE parameters'!$C$23*'LCOE parameters'!$C$24))</f>
        <v>0</v>
      </c>
      <c r="U45" s="58">
        <f>SUM(('LCOE parameters'!$C$33*'LCOE parameters'!$C$23*'LCOE parameters'!$C$24),('LCOE parameters'!$C$34*'LCOE parameters'!$C$23*'LCOE parameters'!$C$24),('LCOE parameters'!$C$35*'LCOE parameters'!$C$23*'LCOE parameters'!$C$24),('LCOE parameters'!$C$36*'LCOE parameters'!$C$23*'LCOE parameters'!$C$24))</f>
        <v>0</v>
      </c>
      <c r="V45" s="58">
        <f>SUM(('LCOE parameters'!$C$33*'LCOE parameters'!$C$23*'LCOE parameters'!$C$24),('LCOE parameters'!$C$34*'LCOE parameters'!$C$23*'LCOE parameters'!$C$24),('LCOE parameters'!$C$35*'LCOE parameters'!$C$23*'LCOE parameters'!$C$24),('LCOE parameters'!$C$36*'LCOE parameters'!$C$23*'LCOE parameters'!$C$24))</f>
        <v>0</v>
      </c>
      <c r="W45" s="58">
        <f>SUM(('LCOE parameters'!$C$33*'LCOE parameters'!$C$23*'LCOE parameters'!$C$24),('LCOE parameters'!$C$34*'LCOE parameters'!$C$23*'LCOE parameters'!$C$24),('LCOE parameters'!$C$35*'LCOE parameters'!$C$23*'LCOE parameters'!$C$24),('LCOE parameters'!$C$36*'LCOE parameters'!$C$23*'LCOE parameters'!$C$24))</f>
        <v>0</v>
      </c>
      <c r="X45" s="58">
        <f>SUM(('LCOE parameters'!$C$33*'LCOE parameters'!$C$23*'LCOE parameters'!$C$24),('LCOE parameters'!$C$34*'LCOE parameters'!$C$23*'LCOE parameters'!$C$24),('LCOE parameters'!$C$35*'LCOE parameters'!$C$23*'LCOE parameters'!$C$24),('LCOE parameters'!$C$36*'LCOE parameters'!$C$23*'LCOE parameters'!$C$24))</f>
        <v>0</v>
      </c>
      <c r="Y45" s="58">
        <f>SUM(('LCOE parameters'!$C$33*'LCOE parameters'!$C$23*'LCOE parameters'!$C$24),('LCOE parameters'!$C$34*'LCOE parameters'!$C$23*'LCOE parameters'!$C$24),('LCOE parameters'!$C$35*'LCOE parameters'!$C$23*'LCOE parameters'!$C$24),('LCOE parameters'!$C$36*'LCOE parameters'!$C$23*'LCOE parameters'!$C$24))</f>
        <v>0</v>
      </c>
      <c r="Z45" s="58">
        <f>SUM(('LCOE parameters'!$C$33*'LCOE parameters'!$C$23*'LCOE parameters'!$C$24),('LCOE parameters'!$C$34*'LCOE parameters'!$C$23*'LCOE parameters'!$C$24),('LCOE parameters'!$C$35*'LCOE parameters'!$C$23*'LCOE parameters'!$C$24),('LCOE parameters'!$C$36*'LCOE parameters'!$C$23*'LCOE parameters'!$C$24))</f>
        <v>0</v>
      </c>
      <c r="AA45" s="58">
        <f>SUM(('LCOE parameters'!$C$33*'LCOE parameters'!$C$23*'LCOE parameters'!$C$24),('LCOE parameters'!$C$34*'LCOE parameters'!$C$23*'LCOE parameters'!$C$24),('LCOE parameters'!$C$35*'LCOE parameters'!$C$23*'LCOE parameters'!$C$24),('LCOE parameters'!$C$36*'LCOE parameters'!$C$23*'LCOE parameters'!$C$24))</f>
        <v>0</v>
      </c>
      <c r="AB45" s="58">
        <f>SUM(('LCOE parameters'!$C$33*'LCOE parameters'!$C$23*'LCOE parameters'!$C$24),('LCOE parameters'!$C$34*'LCOE parameters'!$C$23*'LCOE parameters'!$C$24),('LCOE parameters'!$C$35*'LCOE parameters'!$C$23*'LCOE parameters'!$C$24),('LCOE parameters'!$C$36*'LCOE parameters'!$C$23*'LCOE parameters'!$C$24))</f>
        <v>0</v>
      </c>
      <c r="AC45" s="58">
        <f>SUM(('LCOE parameters'!$C$33*'LCOE parameters'!$C$23*'LCOE parameters'!$C$24),('LCOE parameters'!$C$34*'LCOE parameters'!$C$23*'LCOE parameters'!$C$24),('LCOE parameters'!$C$35*'LCOE parameters'!$C$23*'LCOE parameters'!$C$24),('LCOE parameters'!$C$36*'LCOE parameters'!$C$23*'LCOE parameters'!$C$24))</f>
        <v>0</v>
      </c>
      <c r="AD45" s="58">
        <f>SUM(('LCOE parameters'!$C$33*'LCOE parameters'!$C$23*'LCOE parameters'!$C$24),('LCOE parameters'!$C$34*'LCOE parameters'!$C$23*'LCOE parameters'!$C$24),('LCOE parameters'!$C$35*'LCOE parameters'!$C$23*'LCOE parameters'!$C$24),('LCOE parameters'!$C$36*'LCOE parameters'!$C$23*'LCOE parameters'!$C$24))</f>
        <v>0</v>
      </c>
      <c r="AE45" s="58">
        <f>SUM(('LCOE parameters'!$C$33*'LCOE parameters'!$C$23*'LCOE parameters'!$C$24),('LCOE parameters'!$C$34*'LCOE parameters'!$C$23*'LCOE parameters'!$C$24),('LCOE parameters'!$C$35*'LCOE parameters'!$C$23*'LCOE parameters'!$C$24),('LCOE parameters'!$C$36*'LCOE parameters'!$C$23*'LCOE parameters'!$C$24))</f>
        <v>0</v>
      </c>
      <c r="AF45" s="58">
        <f>SUM(('LCOE parameters'!$C$33*'LCOE parameters'!$C$23*'LCOE parameters'!$C$24),('LCOE parameters'!$C$34*'LCOE parameters'!$C$23*'LCOE parameters'!$C$24),('LCOE parameters'!$C$35*'LCOE parameters'!$C$23*'LCOE parameters'!$C$24),('LCOE parameters'!$C$36*'LCOE parameters'!$C$23*'LCOE parameters'!$C$24))</f>
        <v>0</v>
      </c>
      <c r="AG45" s="58">
        <f>SUM(('LCOE parameters'!$C$33*'LCOE parameters'!$C$23*'LCOE parameters'!$C$24),('LCOE parameters'!$C$34*'LCOE parameters'!$C$23*'LCOE parameters'!$C$24),('LCOE parameters'!$C$35*'LCOE parameters'!$C$23*'LCOE parameters'!$C$24),('LCOE parameters'!$C$36*'LCOE parameters'!$C$23*'LCOE parameters'!$C$24))</f>
        <v>0</v>
      </c>
      <c r="AH45" s="58">
        <f>SUM(('LCOE parameters'!$C$33*'LCOE parameters'!$C$23*'LCOE parameters'!$C$24),('LCOE parameters'!$C$34*'LCOE parameters'!$C$23*'LCOE parameters'!$C$24),('LCOE parameters'!$C$35*'LCOE parameters'!$C$23*'LCOE parameters'!$C$24),('LCOE parameters'!$C$36*'LCOE parameters'!$C$23*'LCOE parameters'!$C$24))</f>
        <v>0</v>
      </c>
      <c r="AI45" s="58">
        <f>SUM(('LCOE parameters'!$C$33*'LCOE parameters'!$C$23*'LCOE parameters'!$C$24),('LCOE parameters'!$C$34*'LCOE parameters'!$C$23*'LCOE parameters'!$C$24),('LCOE parameters'!$C$35*'LCOE parameters'!$C$23*'LCOE parameters'!$C$24),('LCOE parameters'!$C$36*'LCOE parameters'!$C$23*'LCOE parameters'!$C$24))</f>
        <v>0</v>
      </c>
      <c r="AJ45" s="58">
        <f>SUM(('LCOE parameters'!$C$33*'LCOE parameters'!$C$23*'LCOE parameters'!$C$24),('LCOE parameters'!$C$34*'LCOE parameters'!$C$23*'LCOE parameters'!$C$24),('LCOE parameters'!$C$35*'LCOE parameters'!$C$23*'LCOE parameters'!$C$24),('LCOE parameters'!$C$36*'LCOE parameters'!$C$23*'LCOE parameters'!$C$24))</f>
        <v>0</v>
      </c>
      <c r="AK45" s="58">
        <f>SUM(('LCOE parameters'!$C$33*'LCOE parameters'!$C$23*'LCOE parameters'!$C$24),('LCOE parameters'!$C$34*'LCOE parameters'!$C$23*'LCOE parameters'!$C$24),('LCOE parameters'!$C$35*'LCOE parameters'!$C$23*'LCOE parameters'!$C$24),('LCOE parameters'!$C$36*'LCOE parameters'!$C$23*'LCOE parameters'!$C$24))</f>
        <v>0</v>
      </c>
      <c r="AL45" s="58">
        <f>SUM(('LCOE parameters'!$C$33*'LCOE parameters'!$C$23*'LCOE parameters'!$C$24),('LCOE parameters'!$C$34*'LCOE parameters'!$C$23*'LCOE parameters'!$C$24),('LCOE parameters'!$C$35*'LCOE parameters'!$C$23*'LCOE parameters'!$C$24),('LCOE parameters'!$C$36*'LCOE parameters'!$C$23*'LCOE parameters'!$C$24))</f>
        <v>0</v>
      </c>
      <c r="AM45" s="58">
        <f>SUM(('LCOE parameters'!$C$33*'LCOE parameters'!$C$23*'LCOE parameters'!$C$24),('LCOE parameters'!$C$34*'LCOE parameters'!$C$23*'LCOE parameters'!$C$24),('LCOE parameters'!$C$35*'LCOE parameters'!$C$23*'LCOE parameters'!$C$24),('LCOE parameters'!$C$36*'LCOE parameters'!$C$23*'LCOE parameters'!$C$24))</f>
        <v>0</v>
      </c>
      <c r="AN45" s="58">
        <f>SUM(('LCOE parameters'!$C$33*'LCOE parameters'!$C$23*'LCOE parameters'!$C$24),('LCOE parameters'!$C$34*'LCOE parameters'!$C$23*'LCOE parameters'!$C$24),('LCOE parameters'!$C$35*'LCOE parameters'!$C$23*'LCOE parameters'!$C$24),('LCOE parameters'!$C$36*'LCOE parameters'!$C$23*'LCOE parameters'!$C$24))</f>
        <v>0</v>
      </c>
      <c r="AO45" s="58">
        <f>SUM(('LCOE parameters'!$C$33*'LCOE parameters'!$C$23*'LCOE parameters'!$C$24),('LCOE parameters'!$C$34*'LCOE parameters'!$C$23*'LCOE parameters'!$C$24),('LCOE parameters'!$C$35*'LCOE parameters'!$C$23*'LCOE parameters'!$C$24),('LCOE parameters'!$C$36*'LCOE parameters'!$C$23*'LCOE parameters'!$C$24))</f>
        <v>0</v>
      </c>
      <c r="AP45" s="58">
        <f>SUM(('LCOE parameters'!$C$33*'LCOE parameters'!$C$23*'LCOE parameters'!$C$24),('LCOE parameters'!$C$34*'LCOE parameters'!$C$23*'LCOE parameters'!$C$24),('LCOE parameters'!$C$35*'LCOE parameters'!$C$23*'LCOE parameters'!$C$24),('LCOE parameters'!$C$36*'LCOE parameters'!$C$23*'LCOE parameters'!$C$24))</f>
        <v>0</v>
      </c>
      <c r="AQ45" s="58">
        <f>SUM(('LCOE parameters'!$C$33*'LCOE parameters'!$C$23*'LCOE parameters'!$C$24),('LCOE parameters'!$C$34*'LCOE parameters'!$C$23*'LCOE parameters'!$C$24),('LCOE parameters'!$C$35*'LCOE parameters'!$C$23*'LCOE parameters'!$C$24),('LCOE parameters'!$C$36*'LCOE parameters'!$C$23*'LCOE parameters'!$C$24))</f>
        <v>0</v>
      </c>
      <c r="AR45" s="58">
        <f>SUM(('LCOE parameters'!$C$33*'LCOE parameters'!$C$23*'LCOE parameters'!$C$24),('LCOE parameters'!$C$34*'LCOE parameters'!$C$23*'LCOE parameters'!$C$24),('LCOE parameters'!$C$35*'LCOE parameters'!$C$23*'LCOE parameters'!$C$24),('LCOE parameters'!$C$36*'LCOE parameters'!$C$23*'LCOE parameters'!$C$24))</f>
        <v>0</v>
      </c>
      <c r="AS45" s="58">
        <f>SUM(('LCOE parameters'!$C$33*'LCOE parameters'!$C$23*'LCOE parameters'!$C$24),('LCOE parameters'!$C$34*'LCOE parameters'!$C$23*'LCOE parameters'!$C$24),('LCOE parameters'!$C$35*'LCOE parameters'!$C$23*'LCOE parameters'!$C$24),('LCOE parameters'!$C$36*'LCOE parameters'!$C$23*'LCOE parameters'!$C$24))</f>
        <v>0</v>
      </c>
      <c r="AT45" s="58">
        <f>SUM(('LCOE parameters'!$C$33*'LCOE parameters'!$C$23*'LCOE parameters'!$C$24),('LCOE parameters'!$C$34*'LCOE parameters'!$C$23*'LCOE parameters'!$C$24),('LCOE parameters'!$C$35*'LCOE parameters'!$C$23*'LCOE parameters'!$C$24),('LCOE parameters'!$C$36*'LCOE parameters'!$C$23*'LCOE parameters'!$C$24))</f>
        <v>0</v>
      </c>
      <c r="AU45" s="58">
        <f>SUM(('LCOE parameters'!$C$33*'LCOE parameters'!$C$23*'LCOE parameters'!$C$24),('LCOE parameters'!$C$34*'LCOE parameters'!$C$23*'LCOE parameters'!$C$24),('LCOE parameters'!$C$35*'LCOE parameters'!$C$23*'LCOE parameters'!$C$24),('LCOE parameters'!$C$36*'LCOE parameters'!$C$23*'LCOE parameters'!$C$24))</f>
        <v>0</v>
      </c>
      <c r="AV45" s="58">
        <f>SUM(('LCOE parameters'!$C$33*'LCOE parameters'!$C$23*'LCOE parameters'!$C$24),('LCOE parameters'!$C$34*'LCOE parameters'!$C$23*'LCOE parameters'!$C$24),('LCOE parameters'!$C$35*'LCOE parameters'!$C$23*'LCOE parameters'!$C$24),('LCOE parameters'!$C$36*'LCOE parameters'!$C$23*'LCOE parameters'!$C$24))</f>
        <v>0</v>
      </c>
      <c r="AW45" s="58">
        <f>SUM(('LCOE parameters'!$C$33*'LCOE parameters'!$C$23*'LCOE parameters'!$C$24),('LCOE parameters'!$C$34*'LCOE parameters'!$C$23*'LCOE parameters'!$C$24),('LCOE parameters'!$C$35*'LCOE parameters'!$C$23*'LCOE parameters'!$C$24),('LCOE parameters'!$C$36*'LCOE parameters'!$C$23*'LCOE parameters'!$C$24))</f>
        <v>0</v>
      </c>
      <c r="AX45" s="58">
        <f>SUM(('LCOE parameters'!$C$33*'LCOE parameters'!$C$23*'LCOE parameters'!$C$24),('LCOE parameters'!$C$34*'LCOE parameters'!$C$23*'LCOE parameters'!$C$24),('LCOE parameters'!$C$35*'LCOE parameters'!$C$23*'LCOE parameters'!$C$24),('LCOE parameters'!$C$36*'LCOE parameters'!$C$23*'LCOE parameters'!$C$24))</f>
        <v>0</v>
      </c>
      <c r="AY45" s="58">
        <f>SUM(('LCOE parameters'!$C$33*'LCOE parameters'!$C$23*'LCOE parameters'!$C$24),('LCOE parameters'!$C$34*'LCOE parameters'!$C$23*'LCOE parameters'!$C$24),('LCOE parameters'!$C$35*'LCOE parameters'!$C$23*'LCOE parameters'!$C$24),('LCOE parameters'!$C$36*'LCOE parameters'!$C$23*'LCOE parameters'!$C$24))</f>
        <v>0</v>
      </c>
      <c r="AZ45" s="58">
        <f>SUM(('LCOE parameters'!$C$33*'LCOE parameters'!$C$23*'LCOE parameters'!$C$24),('LCOE parameters'!$C$34*'LCOE parameters'!$C$23*'LCOE parameters'!$C$24),('LCOE parameters'!$C$35*'LCOE parameters'!$C$23*'LCOE parameters'!$C$24),('LCOE parameters'!$C$36*'LCOE parameters'!$C$23*'LCOE parameters'!$C$24))</f>
        <v>0</v>
      </c>
      <c r="BA45" s="58">
        <f>SUM(('LCOE parameters'!$C$33*'LCOE parameters'!$C$23*'LCOE parameters'!$C$24),('LCOE parameters'!$C$34*'LCOE parameters'!$C$23*'LCOE parameters'!$C$24),('LCOE parameters'!$C$35*'LCOE parameters'!$C$23*'LCOE parameters'!$C$24),('LCOE parameters'!$C$36*'LCOE parameters'!$C$23*'LCOE parameters'!$C$24))</f>
        <v>0</v>
      </c>
      <c r="BB45" s="58">
        <f>SUM(('LCOE parameters'!$C$33*'LCOE parameters'!$C$23*'LCOE parameters'!$C$24),('LCOE parameters'!$C$34*'LCOE parameters'!$C$23*'LCOE parameters'!$C$24),('LCOE parameters'!$C$35*'LCOE parameters'!$C$23*'LCOE parameters'!$C$24),('LCOE parameters'!$C$36*'LCOE parameters'!$C$23*'LCOE parameters'!$C$24))</f>
        <v>0</v>
      </c>
      <c r="BC45" s="58">
        <f>SUM(('LCOE parameters'!$C$33*'LCOE parameters'!$C$23*'LCOE parameters'!$C$24),('LCOE parameters'!$C$34*'LCOE parameters'!$C$23*'LCOE parameters'!$C$24),('LCOE parameters'!$C$35*'LCOE parameters'!$C$23*'LCOE parameters'!$C$24),('LCOE parameters'!$C$36*'LCOE parameters'!$C$23*'LCOE parameters'!$C$24))</f>
        <v>0</v>
      </c>
      <c r="BD45" s="58">
        <f>SUM(('LCOE parameters'!$C$33*'LCOE parameters'!$C$23*'LCOE parameters'!$C$24),('LCOE parameters'!$C$34*'LCOE parameters'!$C$23*'LCOE parameters'!$C$24),('LCOE parameters'!$C$35*'LCOE parameters'!$C$23*'LCOE parameters'!$C$24),('LCOE parameters'!$C$36*'LCOE parameters'!$C$23*'LCOE parameters'!$C$24))</f>
        <v>0</v>
      </c>
      <c r="BE45" s="58">
        <f>SUM(('LCOE parameters'!$C$33*'LCOE parameters'!$C$23*'LCOE parameters'!$C$24),('LCOE parameters'!$C$34*'LCOE parameters'!$C$23*'LCOE parameters'!$C$24),('LCOE parameters'!$C$35*'LCOE parameters'!$C$23*'LCOE parameters'!$C$24),('LCOE parameters'!$C$36*'LCOE parameters'!$C$23*'LCOE parameters'!$C$24))</f>
        <v>0</v>
      </c>
      <c r="BF45" s="58">
        <f>SUM(('LCOE parameters'!$C$33*'LCOE parameters'!$C$23*'LCOE parameters'!$C$24),('LCOE parameters'!$C$34*'LCOE parameters'!$C$23*'LCOE parameters'!$C$24),('LCOE parameters'!$C$35*'LCOE parameters'!$C$23*'LCOE parameters'!$C$24),('LCOE parameters'!$C$36*'LCOE parameters'!$C$23*'LCOE parameters'!$C$24))</f>
        <v>0</v>
      </c>
      <c r="BG45" s="58">
        <f>SUM(('LCOE parameters'!$C$33*'LCOE parameters'!$C$23*'LCOE parameters'!$C$24),('LCOE parameters'!$C$34*'LCOE parameters'!$C$23*'LCOE parameters'!$C$24),('LCOE parameters'!$C$35*'LCOE parameters'!$C$23*'LCOE parameters'!$C$24),('LCOE parameters'!$C$36*'LCOE parameters'!$C$23*'LCOE parameters'!$C$24))</f>
        <v>0</v>
      </c>
      <c r="BH45" s="58">
        <f>SUM(('LCOE parameters'!$C$33*'LCOE parameters'!$C$23*'LCOE parameters'!$C$24),('LCOE parameters'!$C$34*'LCOE parameters'!$C$23*'LCOE parameters'!$C$24),('LCOE parameters'!$C$35*'LCOE parameters'!$C$23*'LCOE parameters'!$C$24),('LCOE parameters'!$C$36*'LCOE parameters'!$C$23*'LCOE parameters'!$C$24))</f>
        <v>0</v>
      </c>
      <c r="BI45" s="58">
        <f>SUM(('LCOE parameters'!$C$33*'LCOE parameters'!$C$23*'LCOE parameters'!$C$24),('LCOE parameters'!$C$34*'LCOE parameters'!$C$23*'LCOE parameters'!$C$24),('LCOE parameters'!$C$35*'LCOE parameters'!$C$23*'LCOE parameters'!$C$24),('LCOE parameters'!$C$36*'LCOE parameters'!$C$23*'LCOE parameters'!$C$24))</f>
        <v>0</v>
      </c>
      <c r="BJ45" s="58">
        <f>SUM(('LCOE parameters'!$C$33*'LCOE parameters'!$C$23*'LCOE parameters'!$C$24),('LCOE parameters'!$C$34*'LCOE parameters'!$C$23*'LCOE parameters'!$C$24),('LCOE parameters'!$C$35*'LCOE parameters'!$C$23*'LCOE parameters'!$C$24),('LCOE parameters'!$C$36*'LCOE parameters'!$C$23*'LCOE parameters'!$C$24))</f>
        <v>0</v>
      </c>
      <c r="BK45" s="58">
        <f>SUM(('LCOE parameters'!$C$33*'LCOE parameters'!$C$23*'LCOE parameters'!$C$24),('LCOE parameters'!$C$34*'LCOE parameters'!$C$23*'LCOE parameters'!$C$24),('LCOE parameters'!$C$35*'LCOE parameters'!$C$23*'LCOE parameters'!$C$24),('LCOE parameters'!$C$36*'LCOE parameters'!$C$23*'LCOE parameters'!$C$24))</f>
        <v>0</v>
      </c>
      <c r="BL45" s="58">
        <f>SUM(('LCOE parameters'!$C$33*'LCOE parameters'!$C$23*'LCOE parameters'!$C$24),('LCOE parameters'!$C$34*'LCOE parameters'!$C$23*'LCOE parameters'!$C$24),('LCOE parameters'!$C$35*'LCOE parameters'!$C$23*'LCOE parameters'!$C$24),('LCOE parameters'!$C$36*'LCOE parameters'!$C$23*'LCOE parameters'!$C$24))</f>
        <v>0</v>
      </c>
      <c r="BM45" s="58">
        <f>SUM(('LCOE parameters'!$C$33*'LCOE parameters'!$C$23*'LCOE parameters'!$C$24),('LCOE parameters'!$C$34*'LCOE parameters'!$C$23*'LCOE parameters'!$C$24),('LCOE parameters'!$C$35*'LCOE parameters'!$C$23*'LCOE parameters'!$C$24),('LCOE parameters'!$C$36*'LCOE parameters'!$C$23*'LCOE parameters'!$C$24))</f>
        <v>0</v>
      </c>
      <c r="BN45" s="58">
        <f>SUM(('LCOE parameters'!$C$33*'LCOE parameters'!$C$23*'LCOE parameters'!$C$24),('LCOE parameters'!$C$34*'LCOE parameters'!$C$23*'LCOE parameters'!$C$24),('LCOE parameters'!$C$35*'LCOE parameters'!$C$23*'LCOE parameters'!$C$24),('LCOE parameters'!$C$36*'LCOE parameters'!$C$23*'LCOE parameters'!$C$24))</f>
        <v>0</v>
      </c>
      <c r="BO45" s="58">
        <f>SUM(('LCOE parameters'!$C$33*'LCOE parameters'!$C$23*'LCOE parameters'!$C$24),('LCOE parameters'!$C$34*'LCOE parameters'!$C$23*'LCOE parameters'!$C$24),('LCOE parameters'!$C$35*'LCOE parameters'!$C$23*'LCOE parameters'!$C$24),('LCOE parameters'!$C$36*'LCOE parameters'!$C$23*'LCOE parameters'!$C$24))</f>
        <v>0</v>
      </c>
      <c r="BP45" s="58">
        <f>SUM(('LCOE parameters'!$C$33*'LCOE parameters'!$C$23*'LCOE parameters'!$C$24),('LCOE parameters'!$C$34*'LCOE parameters'!$C$23*'LCOE parameters'!$C$24),('LCOE parameters'!$C$35*'LCOE parameters'!$C$23*'LCOE parameters'!$C$24),('LCOE parameters'!$C$36*'LCOE parameters'!$C$23*'LCOE parameters'!$C$24))</f>
        <v>0</v>
      </c>
    </row>
    <row r="46" spans="1:75">
      <c r="A46" s="61" t="s">
        <v>196</v>
      </c>
      <c r="I46" s="58">
        <f>('LCOE parameters'!$C$37*Assumptions!$B$16)*('LCOE parameters'!$C$23*Assumptions!$B$4)*('LCOE parameters'!$C$24*Assumptions!$B$6)</f>
        <v>10700292</v>
      </c>
      <c r="J46" s="58">
        <f>('LCOE parameters'!$C$37*Assumptions!$B$16)*('LCOE parameters'!$C$23*Assumptions!$B$4)*('LCOE parameters'!$C$24*Assumptions!$B$6)</f>
        <v>10700292</v>
      </c>
      <c r="K46" s="58">
        <f>('LCOE parameters'!$C$37*Assumptions!$B$16)*('LCOE parameters'!$C$23*Assumptions!$B$4)*('LCOE parameters'!$C$24*Assumptions!$B$6)</f>
        <v>10700292</v>
      </c>
      <c r="L46" s="58">
        <f>('LCOE parameters'!$C$37*Assumptions!$B$16)*('LCOE parameters'!$C$23*Assumptions!$B$4)*('LCOE parameters'!$C$24*Assumptions!$B$6)</f>
        <v>10700292</v>
      </c>
      <c r="M46" s="58">
        <f>('LCOE parameters'!$C$37*Assumptions!$B$16)*('LCOE parameters'!$C$23*Assumptions!$B$4)*('LCOE parameters'!$C$24*Assumptions!$B$6)</f>
        <v>10700292</v>
      </c>
      <c r="N46" s="58">
        <f>('LCOE parameters'!$C$37*Assumptions!$B$16)*('LCOE parameters'!$C$23*Assumptions!$B$4)*('LCOE parameters'!$C$24*Assumptions!$B$6)</f>
        <v>10700292</v>
      </c>
      <c r="O46" s="58">
        <f>('LCOE parameters'!$C$37*Assumptions!$B$16)*('LCOE parameters'!$C$23*Assumptions!$B$4)*('LCOE parameters'!$C$24*Assumptions!$B$6)</f>
        <v>10700292</v>
      </c>
      <c r="P46" s="58">
        <f>('LCOE parameters'!$C$37*Assumptions!$B$16)*('LCOE parameters'!$C$23*Assumptions!$B$4)*('LCOE parameters'!$C$24*Assumptions!$B$6)</f>
        <v>10700292</v>
      </c>
      <c r="Q46" s="58">
        <f>('LCOE parameters'!$C$37*Assumptions!$B$16)*('LCOE parameters'!$C$23*Assumptions!$B$4)*('LCOE parameters'!$C$24*Assumptions!$B$6)</f>
        <v>10700292</v>
      </c>
      <c r="R46" s="58">
        <f>('LCOE parameters'!$C$37*Assumptions!$B$16)*('LCOE parameters'!$C$23*Assumptions!$B$4)*('LCOE parameters'!$C$24*Assumptions!$B$6)</f>
        <v>10700292</v>
      </c>
      <c r="S46" s="58">
        <f>('LCOE parameters'!$C$37*Assumptions!$B$16)*('LCOE parameters'!$C$23*Assumptions!$B$4)*('LCOE parameters'!$C$24*Assumptions!$B$6)</f>
        <v>10700292</v>
      </c>
      <c r="T46" s="58">
        <f>('LCOE parameters'!$C$37*Assumptions!$B$16)*('LCOE parameters'!$C$23*Assumptions!$B$4)*('LCOE parameters'!$C$24*Assumptions!$B$6)</f>
        <v>10700292</v>
      </c>
      <c r="U46" s="58">
        <f>('LCOE parameters'!$C$37*Assumptions!$B$16)*('LCOE parameters'!$C$23*Assumptions!$B$4)*('LCOE parameters'!$C$24*Assumptions!$B$6)</f>
        <v>10700292</v>
      </c>
      <c r="V46" s="58">
        <f>('LCOE parameters'!$C$37*Assumptions!$B$16)*('LCOE parameters'!$C$23*Assumptions!$B$4)*('LCOE parameters'!$C$24*Assumptions!$B$6)</f>
        <v>10700292</v>
      </c>
      <c r="W46" s="58">
        <f>('LCOE parameters'!$C$37*Assumptions!$B$16)*('LCOE parameters'!$C$23*Assumptions!$B$4)*('LCOE parameters'!$C$24*Assumptions!$B$6)</f>
        <v>10700292</v>
      </c>
      <c r="X46" s="58">
        <f>('LCOE parameters'!$C$37*Assumptions!$B$16)*('LCOE parameters'!$C$23*Assumptions!$B$4)*('LCOE parameters'!$C$24*Assumptions!$B$6)</f>
        <v>10700292</v>
      </c>
      <c r="Y46" s="58">
        <f>('LCOE parameters'!$C$37*Assumptions!$B$16)*('LCOE parameters'!$C$23*Assumptions!$B$4)*('LCOE parameters'!$C$24*Assumptions!$B$6)</f>
        <v>10700292</v>
      </c>
      <c r="Z46" s="58">
        <f>('LCOE parameters'!$C$37*Assumptions!$B$16)*('LCOE parameters'!$C$23*Assumptions!$B$4)*('LCOE parameters'!$C$24*Assumptions!$B$6)</f>
        <v>10700292</v>
      </c>
      <c r="AA46" s="58">
        <f>('LCOE parameters'!$C$37*Assumptions!$B$16)*('LCOE parameters'!$C$23*Assumptions!$B$4)*('LCOE parameters'!$C$24*Assumptions!$B$6)</f>
        <v>10700292</v>
      </c>
      <c r="AB46" s="58">
        <f>('LCOE parameters'!$C$37*Assumptions!$B$16)*('LCOE parameters'!$C$23*Assumptions!$B$4)*('LCOE parameters'!$C$24*Assumptions!$B$6)</f>
        <v>10700292</v>
      </c>
      <c r="AC46" s="58">
        <f>('LCOE parameters'!$C$37*Assumptions!$B$16)*('LCOE parameters'!$C$23*Assumptions!$B$4)*('LCOE parameters'!$C$24*Assumptions!$B$6)</f>
        <v>10700292</v>
      </c>
      <c r="AD46" s="58">
        <f>('LCOE parameters'!$C$37*Assumptions!$B$16)*('LCOE parameters'!$C$23*Assumptions!$B$4)*('LCOE parameters'!$C$24*Assumptions!$B$6)</f>
        <v>10700292</v>
      </c>
      <c r="AE46" s="58">
        <f>('LCOE parameters'!$C$37*Assumptions!$B$16)*('LCOE parameters'!$C$23*Assumptions!$B$4)*('LCOE parameters'!$C$24*Assumptions!$B$6)</f>
        <v>10700292</v>
      </c>
      <c r="AF46" s="58">
        <f>('LCOE parameters'!$C$37*Assumptions!$B$16)*('LCOE parameters'!$C$23*Assumptions!$B$4)*('LCOE parameters'!$C$24*Assumptions!$B$6)</f>
        <v>10700292</v>
      </c>
      <c r="AG46" s="58">
        <f>('LCOE parameters'!$C$37*Assumptions!$B$16)*('LCOE parameters'!$C$23*Assumptions!$B$4)*('LCOE parameters'!$C$24*Assumptions!$B$6)</f>
        <v>10700292</v>
      </c>
      <c r="AH46" s="58">
        <f>('LCOE parameters'!$C$37*Assumptions!$B$16)*('LCOE parameters'!$C$23*Assumptions!$B$4)*('LCOE parameters'!$C$24*Assumptions!$B$6)</f>
        <v>10700292</v>
      </c>
      <c r="AI46" s="58">
        <f>('LCOE parameters'!$C$37*Assumptions!$B$16)*('LCOE parameters'!$C$23*Assumptions!$B$4)*('LCOE parameters'!$C$24*Assumptions!$B$6)</f>
        <v>10700292</v>
      </c>
      <c r="AJ46" s="58">
        <f>('LCOE parameters'!$C$37*Assumptions!$B$16)*('LCOE parameters'!$C$23*Assumptions!$B$4)*('LCOE parameters'!$C$24*Assumptions!$B$6)</f>
        <v>10700292</v>
      </c>
      <c r="AK46" s="58">
        <f>('LCOE parameters'!$C$37*Assumptions!$B$16)*('LCOE parameters'!$C$23*Assumptions!$B$4)*('LCOE parameters'!$C$24*Assumptions!$B$6)</f>
        <v>10700292</v>
      </c>
      <c r="AL46" s="58">
        <f>('LCOE parameters'!$C$37*Assumptions!$B$16)*('LCOE parameters'!$C$23*Assumptions!$B$4)*('LCOE parameters'!$C$24*Assumptions!$B$6)</f>
        <v>10700292</v>
      </c>
      <c r="AM46" s="58">
        <f>('LCOE parameters'!$C$37*Assumptions!$B$16)*('LCOE parameters'!$C$23*Assumptions!$B$4)*('LCOE parameters'!$C$24*Assumptions!$B$6)</f>
        <v>10700292</v>
      </c>
      <c r="AN46" s="58">
        <f>('LCOE parameters'!$C$37*Assumptions!$B$16)*('LCOE parameters'!$C$23*Assumptions!$B$4)*('LCOE parameters'!$C$24*Assumptions!$B$6)</f>
        <v>10700292</v>
      </c>
      <c r="AO46" s="58">
        <f>('LCOE parameters'!$C$37*Assumptions!$B$16)*('LCOE parameters'!$C$23*Assumptions!$B$4)*('LCOE parameters'!$C$24*Assumptions!$B$6)</f>
        <v>10700292</v>
      </c>
      <c r="AP46" s="58">
        <f>('LCOE parameters'!$C$37*Assumptions!$B$16)*('LCOE parameters'!$C$23*Assumptions!$B$4)*('LCOE parameters'!$C$24*Assumptions!$B$6)</f>
        <v>10700292</v>
      </c>
      <c r="AQ46" s="58">
        <f>('LCOE parameters'!$C$37*Assumptions!$B$16)*('LCOE parameters'!$C$23*Assumptions!$B$4)*('LCOE parameters'!$C$24*Assumptions!$B$6)</f>
        <v>10700292</v>
      </c>
      <c r="AR46" s="58">
        <f>('LCOE parameters'!$C$37*Assumptions!$B$16)*('LCOE parameters'!$C$23*Assumptions!$B$4)*('LCOE parameters'!$C$24*Assumptions!$B$6)</f>
        <v>10700292</v>
      </c>
      <c r="AS46" s="58">
        <f>('LCOE parameters'!$C$37*Assumptions!$B$16)*('LCOE parameters'!$C$23*Assumptions!$B$4)*('LCOE parameters'!$C$24*Assumptions!$B$6)</f>
        <v>10700292</v>
      </c>
      <c r="AT46" s="58">
        <f>('LCOE parameters'!$C$37*Assumptions!$B$16)*('LCOE parameters'!$C$23*Assumptions!$B$4)*('LCOE parameters'!$C$24*Assumptions!$B$6)</f>
        <v>10700292</v>
      </c>
      <c r="AU46" s="58">
        <f>('LCOE parameters'!$C$37*Assumptions!$B$16)*('LCOE parameters'!$C$23*Assumptions!$B$4)*('LCOE parameters'!$C$24*Assumptions!$B$6)</f>
        <v>10700292</v>
      </c>
      <c r="AV46" s="58">
        <f>('LCOE parameters'!$C$37*Assumptions!$B$16)*('LCOE parameters'!$C$23*Assumptions!$B$4)*('LCOE parameters'!$C$24*Assumptions!$B$6)</f>
        <v>10700292</v>
      </c>
      <c r="AW46" s="58">
        <f>('LCOE parameters'!$C$37*Assumptions!$B$16)*('LCOE parameters'!$C$23*Assumptions!$B$4)*('LCOE parameters'!$C$24*Assumptions!$B$6)</f>
        <v>10700292</v>
      </c>
      <c r="AX46" s="58">
        <f>('LCOE parameters'!$C$37*Assumptions!$B$16)*('LCOE parameters'!$C$23*Assumptions!$B$4)*('LCOE parameters'!$C$24*Assumptions!$B$6)</f>
        <v>10700292</v>
      </c>
      <c r="AY46" s="58">
        <f>('LCOE parameters'!$C$37*Assumptions!$B$16)*('LCOE parameters'!$C$23*Assumptions!$B$4)*('LCOE parameters'!$C$24*Assumptions!$B$6)</f>
        <v>10700292</v>
      </c>
      <c r="AZ46" s="58">
        <f>('LCOE parameters'!$C$37*Assumptions!$B$16)*('LCOE parameters'!$C$23*Assumptions!$B$4)*('LCOE parameters'!$C$24*Assumptions!$B$6)</f>
        <v>10700292</v>
      </c>
      <c r="BA46" s="58">
        <f>('LCOE parameters'!$C$37*Assumptions!$B$16)*('LCOE parameters'!$C$23*Assumptions!$B$4)*('LCOE parameters'!$C$24*Assumptions!$B$6)</f>
        <v>10700292</v>
      </c>
      <c r="BB46" s="58">
        <f>('LCOE parameters'!$C$37*Assumptions!$B$16)*('LCOE parameters'!$C$23*Assumptions!$B$4)*('LCOE parameters'!$C$24*Assumptions!$B$6)</f>
        <v>10700292</v>
      </c>
      <c r="BC46" s="58">
        <f>('LCOE parameters'!$C$37*Assumptions!$B$16)*('LCOE parameters'!$C$23*Assumptions!$B$4)*('LCOE parameters'!$C$24*Assumptions!$B$6)</f>
        <v>10700292</v>
      </c>
      <c r="BD46" s="58">
        <f>('LCOE parameters'!$C$37*Assumptions!$B$16)*('LCOE parameters'!$C$23*Assumptions!$B$4)*('LCOE parameters'!$C$24*Assumptions!$B$6)</f>
        <v>10700292</v>
      </c>
      <c r="BE46" s="58">
        <f>('LCOE parameters'!$C$37*Assumptions!$B$16)*('LCOE parameters'!$C$23*Assumptions!$B$4)*('LCOE parameters'!$C$24*Assumptions!$B$6)</f>
        <v>10700292</v>
      </c>
      <c r="BF46" s="58">
        <f>('LCOE parameters'!$C$37*Assumptions!$B$16)*('LCOE parameters'!$C$23*Assumptions!$B$4)*('LCOE parameters'!$C$24*Assumptions!$B$6)</f>
        <v>10700292</v>
      </c>
      <c r="BG46" s="58">
        <f>('LCOE parameters'!$C$37*Assumptions!$B$16)*('LCOE parameters'!$C$23*Assumptions!$B$4)*('LCOE parameters'!$C$24*Assumptions!$B$6)</f>
        <v>10700292</v>
      </c>
      <c r="BH46" s="58">
        <f>('LCOE parameters'!$C$37*Assumptions!$B$16)*('LCOE parameters'!$C$23*Assumptions!$B$4)*('LCOE parameters'!$C$24*Assumptions!$B$6)</f>
        <v>10700292</v>
      </c>
      <c r="BI46" s="58">
        <f>('LCOE parameters'!$C$37*Assumptions!$B$16)*('LCOE parameters'!$C$23*Assumptions!$B$4)*('LCOE parameters'!$C$24*Assumptions!$B$6)</f>
        <v>10700292</v>
      </c>
      <c r="BJ46" s="58">
        <f>('LCOE parameters'!$C$37*Assumptions!$B$16)*('LCOE parameters'!$C$23*Assumptions!$B$4)*('LCOE parameters'!$C$24*Assumptions!$B$6)</f>
        <v>10700292</v>
      </c>
      <c r="BK46" s="58">
        <f>('LCOE parameters'!$C$37*Assumptions!$B$16)*('LCOE parameters'!$C$23*Assumptions!$B$4)*('LCOE parameters'!$C$24*Assumptions!$B$6)</f>
        <v>10700292</v>
      </c>
      <c r="BL46" s="58">
        <f>('LCOE parameters'!$C$37*Assumptions!$B$16)*('LCOE parameters'!$C$23*Assumptions!$B$4)*('LCOE parameters'!$C$24*Assumptions!$B$6)</f>
        <v>10700292</v>
      </c>
      <c r="BM46" s="58">
        <f>('LCOE parameters'!$C$37*Assumptions!$B$16)*('LCOE parameters'!$C$23*Assumptions!$B$4)*('LCOE parameters'!$C$24*Assumptions!$B$6)</f>
        <v>10700292</v>
      </c>
      <c r="BN46" s="58">
        <f>('LCOE parameters'!$C$37*Assumptions!$B$16)*('LCOE parameters'!$C$23*Assumptions!$B$4)*('LCOE parameters'!$C$24*Assumptions!$B$6)</f>
        <v>10700292</v>
      </c>
      <c r="BO46" s="58">
        <f>('LCOE parameters'!$C$37*Assumptions!$B$16)*('LCOE parameters'!$C$23*Assumptions!$B$4)*('LCOE parameters'!$C$24*Assumptions!$B$6)</f>
        <v>10700292</v>
      </c>
      <c r="BP46" s="58">
        <f>('LCOE parameters'!$C$37*Assumptions!$B$16)*('LCOE parameters'!$C$23*Assumptions!$B$4)*('LCOE parameters'!$C$24*Assumptions!$B$6)</f>
        <v>10700292</v>
      </c>
    </row>
    <row r="47" spans="1:75">
      <c r="A47" s="61" t="s">
        <v>197</v>
      </c>
      <c r="I47" s="58">
        <f>('LCOE parameters'!$C$38*Assumptions!$B$17)*('LCOE parameters'!$C$23*Assumptions!$B$4)</f>
        <v>20540831.999999996</v>
      </c>
      <c r="J47" s="58">
        <f>('LCOE parameters'!$C$38*Assumptions!$B$17)*('LCOE parameters'!$C$23*Assumptions!$B$4)</f>
        <v>20540831.999999996</v>
      </c>
      <c r="K47" s="58">
        <f>('LCOE parameters'!$C$38*Assumptions!$B$17)*('LCOE parameters'!$C$23*Assumptions!$B$4)</f>
        <v>20540831.999999996</v>
      </c>
      <c r="L47" s="58">
        <f>('LCOE parameters'!$C$38*Assumptions!$B$17)*('LCOE parameters'!$C$23*Assumptions!$B$4)</f>
        <v>20540831.999999996</v>
      </c>
      <c r="M47" s="58">
        <f>('LCOE parameters'!$C$38*Assumptions!$B$17)*('LCOE parameters'!$C$23*Assumptions!$B$4)</f>
        <v>20540831.999999996</v>
      </c>
      <c r="N47" s="58">
        <f>('LCOE parameters'!$C$38*Assumptions!$B$17)*('LCOE parameters'!$C$23*Assumptions!$B$4)</f>
        <v>20540831.999999996</v>
      </c>
      <c r="O47" s="58">
        <f>('LCOE parameters'!$C$38*Assumptions!$B$17)*('LCOE parameters'!$C$23*Assumptions!$B$4)</f>
        <v>20540831.999999996</v>
      </c>
      <c r="P47" s="58">
        <f>('LCOE parameters'!$C$38*Assumptions!$B$17)*('LCOE parameters'!$C$23*Assumptions!$B$4)</f>
        <v>20540831.999999996</v>
      </c>
      <c r="Q47" s="58">
        <f>('LCOE parameters'!$C$38*Assumptions!$B$17)*('LCOE parameters'!$C$23*Assumptions!$B$4)</f>
        <v>20540831.999999996</v>
      </c>
      <c r="R47" s="58">
        <f>('LCOE parameters'!$C$38*Assumptions!$B$17)*('LCOE parameters'!$C$23*Assumptions!$B$4)</f>
        <v>20540831.999999996</v>
      </c>
      <c r="S47" s="58">
        <f>('LCOE parameters'!$C$38*Assumptions!$B$17)*('LCOE parameters'!$C$23*Assumptions!$B$4)</f>
        <v>20540831.999999996</v>
      </c>
      <c r="T47" s="58">
        <f>('LCOE parameters'!$C$38*Assumptions!$B$17)*('LCOE parameters'!$C$23*Assumptions!$B$4)</f>
        <v>20540831.999999996</v>
      </c>
      <c r="U47" s="58">
        <f>('LCOE parameters'!$C$38*Assumptions!$B$17)*('LCOE parameters'!$C$23*Assumptions!$B$4)</f>
        <v>20540831.999999996</v>
      </c>
      <c r="V47" s="58">
        <f>('LCOE parameters'!$C$38*Assumptions!$B$17)*('LCOE parameters'!$C$23*Assumptions!$B$4)</f>
        <v>20540831.999999996</v>
      </c>
      <c r="W47" s="58">
        <f>('LCOE parameters'!$C$38*Assumptions!$B$17)*('LCOE parameters'!$C$23*Assumptions!$B$4)</f>
        <v>20540831.999999996</v>
      </c>
      <c r="X47" s="58">
        <f>('LCOE parameters'!$C$38*Assumptions!$B$17)*('LCOE parameters'!$C$23*Assumptions!$B$4)</f>
        <v>20540831.999999996</v>
      </c>
      <c r="Y47" s="58">
        <f>('LCOE parameters'!$C$38*Assumptions!$B$17)*('LCOE parameters'!$C$23*Assumptions!$B$4)</f>
        <v>20540831.999999996</v>
      </c>
      <c r="Z47" s="58">
        <f>('LCOE parameters'!$C$38*Assumptions!$B$17)*('LCOE parameters'!$C$23*Assumptions!$B$4)</f>
        <v>20540831.999999996</v>
      </c>
      <c r="AA47" s="58">
        <f>('LCOE parameters'!$C$38*Assumptions!$B$17)*('LCOE parameters'!$C$23*Assumptions!$B$4)</f>
        <v>20540831.999999996</v>
      </c>
      <c r="AB47" s="58">
        <f>('LCOE parameters'!$C$38*Assumptions!$B$17)*('LCOE parameters'!$C$23*Assumptions!$B$4)</f>
        <v>20540831.999999996</v>
      </c>
      <c r="AC47" s="58">
        <f>('LCOE parameters'!$C$38*Assumptions!$B$17)*('LCOE parameters'!$C$23*Assumptions!$B$4)</f>
        <v>20540831.999999996</v>
      </c>
      <c r="AD47" s="58">
        <f>('LCOE parameters'!$C$38*Assumptions!$B$17)*('LCOE parameters'!$C$23*Assumptions!$B$4)</f>
        <v>20540831.999999996</v>
      </c>
      <c r="AE47" s="58">
        <f>('LCOE parameters'!$C$38*Assumptions!$B$17)*('LCOE parameters'!$C$23*Assumptions!$B$4)</f>
        <v>20540831.999999996</v>
      </c>
      <c r="AF47" s="58">
        <f>('LCOE parameters'!$C$38*Assumptions!$B$17)*('LCOE parameters'!$C$23*Assumptions!$B$4)</f>
        <v>20540831.999999996</v>
      </c>
      <c r="AG47" s="58">
        <f>('LCOE parameters'!$C$38*Assumptions!$B$17)*('LCOE parameters'!$C$23*Assumptions!$B$4)</f>
        <v>20540831.999999996</v>
      </c>
      <c r="AH47" s="58">
        <f>('LCOE parameters'!$C$38*Assumptions!$B$17)*('LCOE parameters'!$C$23*Assumptions!$B$4)</f>
        <v>20540831.999999996</v>
      </c>
      <c r="AI47" s="58">
        <f>('LCOE parameters'!$C$38*Assumptions!$B$17)*('LCOE parameters'!$C$23*Assumptions!$B$4)</f>
        <v>20540831.999999996</v>
      </c>
      <c r="AJ47" s="58">
        <f>('LCOE parameters'!$C$38*Assumptions!$B$17)*('LCOE parameters'!$C$23*Assumptions!$B$4)</f>
        <v>20540831.999999996</v>
      </c>
      <c r="AK47" s="58">
        <f>('LCOE parameters'!$C$38*Assumptions!$B$17)*('LCOE parameters'!$C$23*Assumptions!$B$4)</f>
        <v>20540831.999999996</v>
      </c>
      <c r="AL47" s="58">
        <f>('LCOE parameters'!$C$38*Assumptions!$B$17)*('LCOE parameters'!$C$23*Assumptions!$B$4)</f>
        <v>20540831.999999996</v>
      </c>
      <c r="AM47" s="58">
        <f>('LCOE parameters'!$C$38*Assumptions!$B$17)*('LCOE parameters'!$C$23*Assumptions!$B$4)</f>
        <v>20540831.999999996</v>
      </c>
      <c r="AN47" s="58">
        <f>('LCOE parameters'!$C$38*Assumptions!$B$17)*('LCOE parameters'!$C$23*Assumptions!$B$4)</f>
        <v>20540831.999999996</v>
      </c>
      <c r="AO47" s="58">
        <f>('LCOE parameters'!$C$38*Assumptions!$B$17)*('LCOE parameters'!$C$23*Assumptions!$B$4)</f>
        <v>20540831.999999996</v>
      </c>
      <c r="AP47" s="58">
        <f>('LCOE parameters'!$C$38*Assumptions!$B$17)*('LCOE parameters'!$C$23*Assumptions!$B$4)</f>
        <v>20540831.999999996</v>
      </c>
      <c r="AQ47" s="58">
        <f>('LCOE parameters'!$C$38*Assumptions!$B$17)*('LCOE parameters'!$C$23*Assumptions!$B$4)</f>
        <v>20540831.999999996</v>
      </c>
      <c r="AR47" s="58">
        <f>('LCOE parameters'!$C$38*Assumptions!$B$17)*('LCOE parameters'!$C$23*Assumptions!$B$4)</f>
        <v>20540831.999999996</v>
      </c>
      <c r="AS47" s="58">
        <f>('LCOE parameters'!$C$38*Assumptions!$B$17)*('LCOE parameters'!$C$23*Assumptions!$B$4)</f>
        <v>20540831.999999996</v>
      </c>
      <c r="AT47" s="58">
        <f>('LCOE parameters'!$C$38*Assumptions!$B$17)*('LCOE parameters'!$C$23*Assumptions!$B$4)</f>
        <v>20540831.999999996</v>
      </c>
      <c r="AU47" s="58">
        <f>('LCOE parameters'!$C$38*Assumptions!$B$17)*('LCOE parameters'!$C$23*Assumptions!$B$4)</f>
        <v>20540831.999999996</v>
      </c>
      <c r="AV47" s="58">
        <f>('LCOE parameters'!$C$38*Assumptions!$B$17)*('LCOE parameters'!$C$23*Assumptions!$B$4)</f>
        <v>20540831.999999996</v>
      </c>
      <c r="AW47" s="58">
        <f>('LCOE parameters'!$C$38*Assumptions!$B$17)*('LCOE parameters'!$C$23*Assumptions!$B$4)</f>
        <v>20540831.999999996</v>
      </c>
      <c r="AX47" s="58">
        <f>('LCOE parameters'!$C$38*Assumptions!$B$17)*('LCOE parameters'!$C$23*Assumptions!$B$4)</f>
        <v>20540831.999999996</v>
      </c>
      <c r="AY47" s="58">
        <f>('LCOE parameters'!$C$38*Assumptions!$B$17)*('LCOE parameters'!$C$23*Assumptions!$B$4)</f>
        <v>20540831.999999996</v>
      </c>
      <c r="AZ47" s="58">
        <f>('LCOE parameters'!$C$38*Assumptions!$B$17)*('LCOE parameters'!$C$23*Assumptions!$B$4)</f>
        <v>20540831.999999996</v>
      </c>
      <c r="BA47" s="58">
        <f>('LCOE parameters'!$C$38*Assumptions!$B$17)*('LCOE parameters'!$C$23*Assumptions!$B$4)</f>
        <v>20540831.999999996</v>
      </c>
      <c r="BB47" s="58">
        <f>('LCOE parameters'!$C$38*Assumptions!$B$17)*('LCOE parameters'!$C$23*Assumptions!$B$4)</f>
        <v>20540831.999999996</v>
      </c>
      <c r="BC47" s="58">
        <f>('LCOE parameters'!$C$38*Assumptions!$B$17)*('LCOE parameters'!$C$23*Assumptions!$B$4)</f>
        <v>20540831.999999996</v>
      </c>
      <c r="BD47" s="58">
        <f>('LCOE parameters'!$C$38*Assumptions!$B$17)*('LCOE parameters'!$C$23*Assumptions!$B$4)</f>
        <v>20540831.999999996</v>
      </c>
      <c r="BE47" s="58">
        <f>('LCOE parameters'!$C$38*Assumptions!$B$17)*('LCOE parameters'!$C$23*Assumptions!$B$4)</f>
        <v>20540831.999999996</v>
      </c>
      <c r="BF47" s="58">
        <f>('LCOE parameters'!$C$38*Assumptions!$B$17)*('LCOE parameters'!$C$23*Assumptions!$B$4)</f>
        <v>20540831.999999996</v>
      </c>
      <c r="BG47" s="58">
        <f>('LCOE parameters'!$C$38*Assumptions!$B$17)*('LCOE parameters'!$C$23*Assumptions!$B$4)</f>
        <v>20540831.999999996</v>
      </c>
      <c r="BH47" s="58">
        <f>('LCOE parameters'!$C$38*Assumptions!$B$17)*('LCOE parameters'!$C$23*Assumptions!$B$4)</f>
        <v>20540831.999999996</v>
      </c>
      <c r="BI47" s="58">
        <f>('LCOE parameters'!$C$38*Assumptions!$B$17)*('LCOE parameters'!$C$23*Assumptions!$B$4)</f>
        <v>20540831.999999996</v>
      </c>
      <c r="BJ47" s="58">
        <f>('LCOE parameters'!$C$38*Assumptions!$B$17)*('LCOE parameters'!$C$23*Assumptions!$B$4)</f>
        <v>20540831.999999996</v>
      </c>
      <c r="BK47" s="58">
        <f>('LCOE parameters'!$C$38*Assumptions!$B$17)*('LCOE parameters'!$C$23*Assumptions!$B$4)</f>
        <v>20540831.999999996</v>
      </c>
      <c r="BL47" s="58">
        <f>('LCOE parameters'!$C$38*Assumptions!$B$17)*('LCOE parameters'!$C$23*Assumptions!$B$4)</f>
        <v>20540831.999999996</v>
      </c>
      <c r="BM47" s="58">
        <f>('LCOE parameters'!$C$38*Assumptions!$B$17)*('LCOE parameters'!$C$23*Assumptions!$B$4)</f>
        <v>20540831.999999996</v>
      </c>
      <c r="BN47" s="58">
        <f>('LCOE parameters'!$C$38*Assumptions!$B$17)*('LCOE parameters'!$C$23*Assumptions!$B$4)</f>
        <v>20540831.999999996</v>
      </c>
      <c r="BO47" s="58">
        <f>('LCOE parameters'!$C$38*Assumptions!$B$17)*('LCOE parameters'!$C$23*Assumptions!$B$4)</f>
        <v>20540831.999999996</v>
      </c>
      <c r="BP47" s="58">
        <f>('LCOE parameters'!$C$38*Assumptions!$B$17)*('LCOE parameters'!$C$23*Assumptions!$B$4)</f>
        <v>20540831.999999996</v>
      </c>
    </row>
    <row r="48" spans="1:75">
      <c r="A48" s="58" t="s">
        <v>209</v>
      </c>
      <c r="B48" s="58">
        <f>'LCOE parameters'!$C$23*'LCOE parameters'!$C$24*'LCOE parameters'!$B$49*'LCOE parameters'!$B$50</f>
        <v>43213082.327817455</v>
      </c>
      <c r="C48" s="58">
        <f>'LCOE parameters'!$C$23*'LCOE parameters'!$C$24*'LCOE parameters'!$B$49*'LCOE parameters'!$B$50</f>
        <v>43213082.327817455</v>
      </c>
      <c r="D48" s="58">
        <f>'LCOE parameters'!$C$23*'LCOE parameters'!$C$24*'LCOE parameters'!$B$49*'LCOE parameters'!$B$50</f>
        <v>43213082.327817455</v>
      </c>
      <c r="E48" s="58">
        <f>'LCOE parameters'!$C$23*'LCOE parameters'!$C$24*'LCOE parameters'!$B$49*'LCOE parameters'!$B$50</f>
        <v>43213082.327817455</v>
      </c>
      <c r="F48" s="58">
        <f>'LCOE parameters'!$C$23*'LCOE parameters'!$C$24*'LCOE parameters'!$B$49*'LCOE parameters'!$B$50</f>
        <v>43213082.327817455</v>
      </c>
      <c r="G48" s="58">
        <f>'LCOE parameters'!$C$23*'LCOE parameters'!$C$24*'LCOE parameters'!$B$49*'LCOE parameters'!$B$50</f>
        <v>43213082.327817455</v>
      </c>
      <c r="H48" s="58">
        <f>'LCOE parameters'!$C$23*'LCOE parameters'!$C$24*'LCOE parameters'!$B$49*'LCOE parameters'!$B$50</f>
        <v>43213082.327817455</v>
      </c>
    </row>
    <row r="49" spans="1:68">
      <c r="A49" s="58" t="s">
        <v>210</v>
      </c>
      <c r="B49" s="58">
        <f>'LCOE parameters'!$B$49*'LCOE parameters'!$B$53*'LCOE parameters'!$C$42*'LCOE parameters'!$C$23*'LCOE parameters'!$C$24/'LCOE parameters'!$C$41</f>
        <v>26537142.857142858</v>
      </c>
      <c r="C49" s="58">
        <f>'LCOE parameters'!$B$49*'LCOE parameters'!$B$53*'LCOE parameters'!$C$42*'LCOE parameters'!$C$23*'LCOE parameters'!$C$24/'LCOE parameters'!$C$41</f>
        <v>26537142.857142858</v>
      </c>
      <c r="D49" s="58">
        <f>'LCOE parameters'!$B$49*'LCOE parameters'!$B$53*'LCOE parameters'!$C$42*'LCOE parameters'!$C$23*'LCOE parameters'!$C$24/'LCOE parameters'!$C$41</f>
        <v>26537142.857142858</v>
      </c>
      <c r="E49" s="58">
        <f>'LCOE parameters'!$B$49*'LCOE parameters'!$B$53*'LCOE parameters'!$C$42*'LCOE parameters'!$C$23*'LCOE parameters'!$C$24/'LCOE parameters'!$C$41</f>
        <v>26537142.857142858</v>
      </c>
      <c r="F49" s="58">
        <f>'LCOE parameters'!$B$49*'LCOE parameters'!$B$53*'LCOE parameters'!$C$42*'LCOE parameters'!$C$23*'LCOE parameters'!$C$24/'LCOE parameters'!$C$41</f>
        <v>26537142.857142858</v>
      </c>
      <c r="G49" s="58">
        <f>'LCOE parameters'!$B$49*'LCOE parameters'!$B$53*'LCOE parameters'!$C$42*'LCOE parameters'!$C$23*'LCOE parameters'!$C$24/'LCOE parameters'!$C$41</f>
        <v>26537142.857142858</v>
      </c>
      <c r="H49" s="58">
        <f>'LCOE parameters'!$B$49*'LCOE parameters'!$B$53*'LCOE parameters'!$C$42*'LCOE parameters'!$C$23*'LCOE parameters'!$C$24/'LCOE parameters'!$C$41</f>
        <v>26537142.857142858</v>
      </c>
    </row>
    <row r="50" spans="1:68">
      <c r="A50" s="58" t="s">
        <v>149</v>
      </c>
      <c r="B50" s="58">
        <v>0</v>
      </c>
      <c r="C50" s="58">
        <v>0</v>
      </c>
      <c r="D50" s="58">
        <v>0</v>
      </c>
      <c r="E50" s="58">
        <v>0</v>
      </c>
      <c r="F50" s="58">
        <v>0</v>
      </c>
      <c r="G50" s="58">
        <v>0</v>
      </c>
      <c r="H50" s="58">
        <v>0</v>
      </c>
      <c r="I50" s="58">
        <f>('LCOE parameters'!$C$24*Assumptions!$B$6)*('LCOE parameters'!$C$23*Assumptions!$B$4)</f>
        <v>5160000</v>
      </c>
      <c r="J50" s="58">
        <f>('LCOE parameters'!$C$24*Assumptions!$B$6)*('LCOE parameters'!$C$23*Assumptions!$B$4)</f>
        <v>5160000</v>
      </c>
      <c r="K50" s="58">
        <f>('LCOE parameters'!$C$24*Assumptions!$B$6)*('LCOE parameters'!$C$23*Assumptions!$B$4)</f>
        <v>5160000</v>
      </c>
      <c r="L50" s="58">
        <f>('LCOE parameters'!$C$24*Assumptions!$B$6)*('LCOE parameters'!$C$23*Assumptions!$B$4)</f>
        <v>5160000</v>
      </c>
      <c r="M50" s="58">
        <f>('LCOE parameters'!$C$24*Assumptions!$B$6)*('LCOE parameters'!$C$23*Assumptions!$B$4)</f>
        <v>5160000</v>
      </c>
      <c r="N50" s="58">
        <f>('LCOE parameters'!$C$24*Assumptions!$B$6)*('LCOE parameters'!$C$23*Assumptions!$B$4)</f>
        <v>5160000</v>
      </c>
      <c r="O50" s="58">
        <f>('LCOE parameters'!$C$24*Assumptions!$B$6)*('LCOE parameters'!$C$23*Assumptions!$B$4)</f>
        <v>5160000</v>
      </c>
      <c r="P50" s="58">
        <f>('LCOE parameters'!$C$24*Assumptions!$B$6)*('LCOE parameters'!$C$23*Assumptions!$B$4)</f>
        <v>5160000</v>
      </c>
      <c r="Q50" s="58">
        <f>('LCOE parameters'!$C$24*Assumptions!$B$6)*('LCOE parameters'!$C$23*Assumptions!$B$4)</f>
        <v>5160000</v>
      </c>
      <c r="R50" s="58">
        <f>('LCOE parameters'!$C$24*Assumptions!$B$6)*('LCOE parameters'!$C$23*Assumptions!$B$4)</f>
        <v>5160000</v>
      </c>
      <c r="S50" s="58">
        <f>('LCOE parameters'!$C$24*Assumptions!$B$6)*('LCOE parameters'!$C$23*Assumptions!$B$4)</f>
        <v>5160000</v>
      </c>
      <c r="T50" s="58">
        <f>('LCOE parameters'!$C$24*Assumptions!$B$6)*('LCOE parameters'!$C$23*Assumptions!$B$4)</f>
        <v>5160000</v>
      </c>
      <c r="U50" s="58">
        <f>('LCOE parameters'!$C$24*Assumptions!$B$6)*('LCOE parameters'!$C$23*Assumptions!$B$4)</f>
        <v>5160000</v>
      </c>
      <c r="V50" s="58">
        <f>('LCOE parameters'!$C$24*Assumptions!$B$6)*('LCOE parameters'!$C$23*Assumptions!$B$4)</f>
        <v>5160000</v>
      </c>
      <c r="W50" s="58">
        <f>('LCOE parameters'!$C$24*Assumptions!$B$6)*('LCOE parameters'!$C$23*Assumptions!$B$4)</f>
        <v>5160000</v>
      </c>
      <c r="X50" s="58">
        <f>('LCOE parameters'!$C$24*Assumptions!$B$6)*('LCOE parameters'!$C$23*Assumptions!$B$4)</f>
        <v>5160000</v>
      </c>
      <c r="Y50" s="58">
        <f>('LCOE parameters'!$C$24*Assumptions!$B$6)*('LCOE parameters'!$C$23*Assumptions!$B$4)</f>
        <v>5160000</v>
      </c>
      <c r="Z50" s="58">
        <f>('LCOE parameters'!$C$24*Assumptions!$B$6)*('LCOE parameters'!$C$23*Assumptions!$B$4)</f>
        <v>5160000</v>
      </c>
      <c r="AA50" s="58">
        <f>('LCOE parameters'!$C$24*Assumptions!$B$6)*('LCOE parameters'!$C$23*Assumptions!$B$4)</f>
        <v>5160000</v>
      </c>
      <c r="AB50" s="58">
        <f>('LCOE parameters'!$C$24*Assumptions!$B$6)*('LCOE parameters'!$C$23*Assumptions!$B$4)</f>
        <v>5160000</v>
      </c>
      <c r="AC50" s="58">
        <f>('LCOE parameters'!$C$24*Assumptions!$B$6)*('LCOE parameters'!$C$23*Assumptions!$B$4)</f>
        <v>5160000</v>
      </c>
      <c r="AD50" s="58">
        <f>('LCOE parameters'!$C$24*Assumptions!$B$6)*('LCOE parameters'!$C$23*Assumptions!$B$4)</f>
        <v>5160000</v>
      </c>
      <c r="AE50" s="58">
        <f>('LCOE parameters'!$C$24*Assumptions!$B$6)*('LCOE parameters'!$C$23*Assumptions!$B$4)</f>
        <v>5160000</v>
      </c>
      <c r="AF50" s="58">
        <f>('LCOE parameters'!$C$24*Assumptions!$B$6)*('LCOE parameters'!$C$23*Assumptions!$B$4)</f>
        <v>5160000</v>
      </c>
      <c r="AG50" s="58">
        <f>('LCOE parameters'!$C$24*Assumptions!$B$6)*('LCOE parameters'!$C$23*Assumptions!$B$4)</f>
        <v>5160000</v>
      </c>
      <c r="AH50" s="58">
        <f>('LCOE parameters'!$C$24*Assumptions!$B$6)*('LCOE parameters'!$C$23*Assumptions!$B$4)</f>
        <v>5160000</v>
      </c>
      <c r="AI50" s="58">
        <f>('LCOE parameters'!$C$24*Assumptions!$B$6)*('LCOE parameters'!$C$23*Assumptions!$B$4)</f>
        <v>5160000</v>
      </c>
      <c r="AJ50" s="58">
        <f>('LCOE parameters'!$C$24*Assumptions!$B$6)*('LCOE parameters'!$C$23*Assumptions!$B$4)</f>
        <v>5160000</v>
      </c>
      <c r="AK50" s="58">
        <f>('LCOE parameters'!$C$24*Assumptions!$B$6)*('LCOE parameters'!$C$23*Assumptions!$B$4)</f>
        <v>5160000</v>
      </c>
      <c r="AL50" s="58">
        <f>('LCOE parameters'!$C$24*Assumptions!$B$6)*('LCOE parameters'!$C$23*Assumptions!$B$4)</f>
        <v>5160000</v>
      </c>
      <c r="AM50" s="58">
        <f>('LCOE parameters'!$C$24*Assumptions!$B$6)*('LCOE parameters'!$C$23*Assumptions!$B$4)</f>
        <v>5160000</v>
      </c>
      <c r="AN50" s="58">
        <f>('LCOE parameters'!$C$24*Assumptions!$B$6)*('LCOE parameters'!$C$23*Assumptions!$B$4)</f>
        <v>5160000</v>
      </c>
      <c r="AO50" s="58">
        <f>('LCOE parameters'!$C$24*Assumptions!$B$6)*('LCOE parameters'!$C$23*Assumptions!$B$4)</f>
        <v>5160000</v>
      </c>
      <c r="AP50" s="58">
        <f>('LCOE parameters'!$C$24*Assumptions!$B$6)*('LCOE parameters'!$C$23*Assumptions!$B$4)</f>
        <v>5160000</v>
      </c>
      <c r="AQ50" s="58">
        <f>('LCOE parameters'!$C$24*Assumptions!$B$6)*('LCOE parameters'!$C$23*Assumptions!$B$4)</f>
        <v>5160000</v>
      </c>
      <c r="AR50" s="58">
        <f>('LCOE parameters'!$C$24*Assumptions!$B$6)*('LCOE parameters'!$C$23*Assumptions!$B$4)</f>
        <v>5160000</v>
      </c>
      <c r="AS50" s="58">
        <f>('LCOE parameters'!$C$24*Assumptions!$B$6)*('LCOE parameters'!$C$23*Assumptions!$B$4)</f>
        <v>5160000</v>
      </c>
      <c r="AT50" s="58">
        <f>('LCOE parameters'!$C$24*Assumptions!$B$6)*('LCOE parameters'!$C$23*Assumptions!$B$4)</f>
        <v>5160000</v>
      </c>
      <c r="AU50" s="58">
        <f>('LCOE parameters'!$C$24*Assumptions!$B$6)*('LCOE parameters'!$C$23*Assumptions!$B$4)</f>
        <v>5160000</v>
      </c>
      <c r="AV50" s="58">
        <f>('LCOE parameters'!$C$24*Assumptions!$B$6)*('LCOE parameters'!$C$23*Assumptions!$B$4)</f>
        <v>5160000</v>
      </c>
      <c r="AW50" s="58">
        <f>('LCOE parameters'!$C$24*Assumptions!$B$6)*('LCOE parameters'!$C$23*Assumptions!$B$4)</f>
        <v>5160000</v>
      </c>
      <c r="AX50" s="58">
        <f>('LCOE parameters'!$C$24*Assumptions!$B$6)*('LCOE parameters'!$C$23*Assumptions!$B$4)</f>
        <v>5160000</v>
      </c>
      <c r="AY50" s="58">
        <f>('LCOE parameters'!$C$24*Assumptions!$B$6)*('LCOE parameters'!$C$23*Assumptions!$B$4)</f>
        <v>5160000</v>
      </c>
      <c r="AZ50" s="58">
        <f>('LCOE parameters'!$C$24*Assumptions!$B$6)*('LCOE parameters'!$C$23*Assumptions!$B$4)</f>
        <v>5160000</v>
      </c>
      <c r="BA50" s="58">
        <f>('LCOE parameters'!$C$24*Assumptions!$B$6)*('LCOE parameters'!$C$23*Assumptions!$B$4)</f>
        <v>5160000</v>
      </c>
      <c r="BB50" s="58">
        <f>('LCOE parameters'!$C$24*Assumptions!$B$6)*('LCOE parameters'!$C$23*Assumptions!$B$4)</f>
        <v>5160000</v>
      </c>
      <c r="BC50" s="58">
        <f>('LCOE parameters'!$C$24*Assumptions!$B$6)*('LCOE parameters'!$C$23*Assumptions!$B$4)</f>
        <v>5160000</v>
      </c>
      <c r="BD50" s="58">
        <f>('LCOE parameters'!$C$24*Assumptions!$B$6)*('LCOE parameters'!$C$23*Assumptions!$B$4)</f>
        <v>5160000</v>
      </c>
      <c r="BE50" s="58">
        <f>('LCOE parameters'!$C$24*Assumptions!$B$6)*('LCOE parameters'!$C$23*Assumptions!$B$4)</f>
        <v>5160000</v>
      </c>
      <c r="BF50" s="58">
        <f>('LCOE parameters'!$C$24*Assumptions!$B$6)*('LCOE parameters'!$C$23*Assumptions!$B$4)</f>
        <v>5160000</v>
      </c>
      <c r="BG50" s="58">
        <f>('LCOE parameters'!$C$24*Assumptions!$B$6)*('LCOE parameters'!$C$23*Assumptions!$B$4)</f>
        <v>5160000</v>
      </c>
      <c r="BH50" s="58">
        <f>('LCOE parameters'!$C$24*Assumptions!$B$6)*('LCOE parameters'!$C$23*Assumptions!$B$4)</f>
        <v>5160000</v>
      </c>
      <c r="BI50" s="58">
        <f>('LCOE parameters'!$C$24*Assumptions!$B$6)*('LCOE parameters'!$C$23*Assumptions!$B$4)</f>
        <v>5160000</v>
      </c>
      <c r="BJ50" s="58">
        <f>('LCOE parameters'!$C$24*Assumptions!$B$6)*('LCOE parameters'!$C$23*Assumptions!$B$4)</f>
        <v>5160000</v>
      </c>
      <c r="BK50" s="58">
        <f>('LCOE parameters'!$C$24*Assumptions!$B$6)*('LCOE parameters'!$C$23*Assumptions!$B$4)</f>
        <v>5160000</v>
      </c>
      <c r="BL50" s="58">
        <f>('LCOE parameters'!$C$24*Assumptions!$B$6)*('LCOE parameters'!$C$23*Assumptions!$B$4)</f>
        <v>5160000</v>
      </c>
      <c r="BM50" s="58">
        <f>('LCOE parameters'!$C$24*Assumptions!$B$6)*('LCOE parameters'!$C$23*Assumptions!$B$4)</f>
        <v>5160000</v>
      </c>
      <c r="BN50" s="58">
        <f>('LCOE parameters'!$C$24*Assumptions!$B$6)*('LCOE parameters'!$C$23*Assumptions!$B$4)</f>
        <v>5160000</v>
      </c>
      <c r="BO50" s="58">
        <f>('LCOE parameters'!$C$24*Assumptions!$B$6)*('LCOE parameters'!$C$23*Assumptions!$B$4)</f>
        <v>5160000</v>
      </c>
      <c r="BP50" s="58">
        <f>('LCOE parameters'!$C$24*Assumptions!$B$6)*('LCOE parameters'!$C$23*Assumptions!$B$4)</f>
        <v>5160000</v>
      </c>
    </row>
    <row r="51" spans="1:68">
      <c r="A51" s="58" t="s">
        <v>166</v>
      </c>
      <c r="B51" s="63">
        <f>('LCOE parameters'!$C$28*Assumptions!$B$10)</f>
        <v>7.0000000000000007E-2</v>
      </c>
      <c r="C51" s="63">
        <f>('LCOE parameters'!$C$28*Assumptions!$B$10)</f>
        <v>7.0000000000000007E-2</v>
      </c>
      <c r="D51" s="63">
        <f>('LCOE parameters'!$C$28*Assumptions!$B$10)</f>
        <v>7.0000000000000007E-2</v>
      </c>
      <c r="E51" s="63">
        <f>('LCOE parameters'!$C$28*Assumptions!$B$10)</f>
        <v>7.0000000000000007E-2</v>
      </c>
      <c r="F51" s="63">
        <f>('LCOE parameters'!$C$28*Assumptions!$B$10)</f>
        <v>7.0000000000000007E-2</v>
      </c>
      <c r="G51" s="63">
        <f>('LCOE parameters'!$C$28*Assumptions!$B$10)</f>
        <v>7.0000000000000007E-2</v>
      </c>
      <c r="H51" s="63">
        <f>('LCOE parameters'!$C$28*Assumptions!$B$10)</f>
        <v>7.0000000000000007E-2</v>
      </c>
      <c r="I51" s="63">
        <f>('LCOE parameters'!$C$28*Assumptions!$B$10)</f>
        <v>7.0000000000000007E-2</v>
      </c>
      <c r="J51" s="63">
        <f>('LCOE parameters'!$C$28*Assumptions!$B$10)</f>
        <v>7.0000000000000007E-2</v>
      </c>
      <c r="K51" s="63">
        <f>('LCOE parameters'!$C$28*Assumptions!$B$10)</f>
        <v>7.0000000000000007E-2</v>
      </c>
      <c r="L51" s="63">
        <f>('LCOE parameters'!$C$28*Assumptions!$B$10)</f>
        <v>7.0000000000000007E-2</v>
      </c>
      <c r="M51" s="63">
        <f>('LCOE parameters'!$C$28*Assumptions!$B$10)</f>
        <v>7.0000000000000007E-2</v>
      </c>
      <c r="N51" s="63">
        <f>('LCOE parameters'!$C$28*Assumptions!$B$10)</f>
        <v>7.0000000000000007E-2</v>
      </c>
      <c r="O51" s="63">
        <f>('LCOE parameters'!$C$28*Assumptions!$B$10)</f>
        <v>7.0000000000000007E-2</v>
      </c>
      <c r="P51" s="63">
        <f>('LCOE parameters'!$C$28*Assumptions!$B$10)</f>
        <v>7.0000000000000007E-2</v>
      </c>
      <c r="Q51" s="63">
        <f>('LCOE parameters'!$C$28*Assumptions!$B$10)</f>
        <v>7.0000000000000007E-2</v>
      </c>
      <c r="R51" s="63">
        <f>('LCOE parameters'!$C$28*Assumptions!$B$10)</f>
        <v>7.0000000000000007E-2</v>
      </c>
      <c r="S51" s="63">
        <f>('LCOE parameters'!$C$28*Assumptions!$B$10)</f>
        <v>7.0000000000000007E-2</v>
      </c>
      <c r="T51" s="63">
        <f>('LCOE parameters'!$C$28*Assumptions!$B$10)</f>
        <v>7.0000000000000007E-2</v>
      </c>
      <c r="U51" s="63">
        <f>('LCOE parameters'!$C$28*Assumptions!$B$10)</f>
        <v>7.0000000000000007E-2</v>
      </c>
      <c r="V51" s="63">
        <f>('LCOE parameters'!$C$28*Assumptions!$B$10)</f>
        <v>7.0000000000000007E-2</v>
      </c>
      <c r="W51" s="63">
        <f>('LCOE parameters'!$C$28*Assumptions!$B$10)</f>
        <v>7.0000000000000007E-2</v>
      </c>
      <c r="X51" s="63">
        <f>('LCOE parameters'!$C$28*Assumptions!$B$10)</f>
        <v>7.0000000000000007E-2</v>
      </c>
      <c r="Y51" s="63">
        <f>('LCOE parameters'!$C$28*Assumptions!$B$10)</f>
        <v>7.0000000000000007E-2</v>
      </c>
      <c r="Z51" s="63">
        <f>('LCOE parameters'!$C$28*Assumptions!$B$10)</f>
        <v>7.0000000000000007E-2</v>
      </c>
      <c r="AA51" s="63">
        <f>('LCOE parameters'!$C$28*Assumptions!$B$10)</f>
        <v>7.0000000000000007E-2</v>
      </c>
      <c r="AB51" s="63">
        <f>('LCOE parameters'!$C$28*Assumptions!$B$10)</f>
        <v>7.0000000000000007E-2</v>
      </c>
      <c r="AC51" s="63">
        <f>('LCOE parameters'!$C$28*Assumptions!$B$10)</f>
        <v>7.0000000000000007E-2</v>
      </c>
      <c r="AD51" s="63">
        <f>('LCOE parameters'!$C$28*Assumptions!$B$10)</f>
        <v>7.0000000000000007E-2</v>
      </c>
      <c r="AE51" s="63">
        <f>('LCOE parameters'!$C$28*Assumptions!$B$10)</f>
        <v>7.0000000000000007E-2</v>
      </c>
      <c r="AF51" s="63">
        <f>('LCOE parameters'!$C$28*Assumptions!$B$10)</f>
        <v>7.0000000000000007E-2</v>
      </c>
      <c r="AG51" s="63">
        <f>('LCOE parameters'!$C$28*Assumptions!$B$10)</f>
        <v>7.0000000000000007E-2</v>
      </c>
      <c r="AH51" s="63">
        <f>('LCOE parameters'!$C$28*Assumptions!$B$10)</f>
        <v>7.0000000000000007E-2</v>
      </c>
      <c r="AI51" s="63">
        <f>('LCOE parameters'!$C$28*Assumptions!$B$10)</f>
        <v>7.0000000000000007E-2</v>
      </c>
      <c r="AJ51" s="63">
        <f>('LCOE parameters'!$C$28*Assumptions!$B$10)</f>
        <v>7.0000000000000007E-2</v>
      </c>
      <c r="AK51" s="63">
        <f>('LCOE parameters'!$C$28*Assumptions!$B$10)</f>
        <v>7.0000000000000007E-2</v>
      </c>
      <c r="AL51" s="63">
        <f>('LCOE parameters'!$C$28*Assumptions!$B$10)</f>
        <v>7.0000000000000007E-2</v>
      </c>
      <c r="AM51" s="63">
        <f>('LCOE parameters'!$C$28*Assumptions!$B$10)</f>
        <v>7.0000000000000007E-2</v>
      </c>
      <c r="AN51" s="63">
        <f>('LCOE parameters'!$C$28*Assumptions!$B$10)</f>
        <v>7.0000000000000007E-2</v>
      </c>
      <c r="AO51" s="63">
        <f>('LCOE parameters'!$C$28*Assumptions!$B$10)</f>
        <v>7.0000000000000007E-2</v>
      </c>
      <c r="AP51" s="63">
        <f>('LCOE parameters'!$C$28*Assumptions!$B$10)</f>
        <v>7.0000000000000007E-2</v>
      </c>
      <c r="AQ51" s="63">
        <f>('LCOE parameters'!$C$28*Assumptions!$B$10)</f>
        <v>7.0000000000000007E-2</v>
      </c>
      <c r="AR51" s="63">
        <f>('LCOE parameters'!$C$28*Assumptions!$B$10)</f>
        <v>7.0000000000000007E-2</v>
      </c>
      <c r="AS51" s="63">
        <f>('LCOE parameters'!$C$28*Assumptions!$B$10)</f>
        <v>7.0000000000000007E-2</v>
      </c>
      <c r="AT51" s="63">
        <f>('LCOE parameters'!$C$28*Assumptions!$B$10)</f>
        <v>7.0000000000000007E-2</v>
      </c>
      <c r="AU51" s="63">
        <f>('LCOE parameters'!$C$28*Assumptions!$B$10)</f>
        <v>7.0000000000000007E-2</v>
      </c>
      <c r="AV51" s="63">
        <f>('LCOE parameters'!$C$28*Assumptions!$B$10)</f>
        <v>7.0000000000000007E-2</v>
      </c>
      <c r="AW51" s="63">
        <f>('LCOE parameters'!$C$28*Assumptions!$B$10)</f>
        <v>7.0000000000000007E-2</v>
      </c>
      <c r="AX51" s="63">
        <f>('LCOE parameters'!$C$28*Assumptions!$B$10)</f>
        <v>7.0000000000000007E-2</v>
      </c>
      <c r="AY51" s="63">
        <f>('LCOE parameters'!$C$28*Assumptions!$B$10)</f>
        <v>7.0000000000000007E-2</v>
      </c>
      <c r="AZ51" s="63">
        <f>('LCOE parameters'!$C$28*Assumptions!$B$10)</f>
        <v>7.0000000000000007E-2</v>
      </c>
      <c r="BA51" s="63">
        <f>('LCOE parameters'!$C$28*Assumptions!$B$10)</f>
        <v>7.0000000000000007E-2</v>
      </c>
      <c r="BB51" s="63">
        <f>('LCOE parameters'!$C$28*Assumptions!$B$10)</f>
        <v>7.0000000000000007E-2</v>
      </c>
      <c r="BC51" s="63">
        <f>('LCOE parameters'!$C$28*Assumptions!$B$10)</f>
        <v>7.0000000000000007E-2</v>
      </c>
      <c r="BD51" s="63">
        <f>('LCOE parameters'!$C$28*Assumptions!$B$10)</f>
        <v>7.0000000000000007E-2</v>
      </c>
      <c r="BE51" s="63">
        <f>('LCOE parameters'!$C$28*Assumptions!$B$10)</f>
        <v>7.0000000000000007E-2</v>
      </c>
      <c r="BF51" s="63">
        <f>('LCOE parameters'!$C$28*Assumptions!$B$10)</f>
        <v>7.0000000000000007E-2</v>
      </c>
      <c r="BG51" s="63">
        <f>('LCOE parameters'!$C$28*Assumptions!$B$10)</f>
        <v>7.0000000000000007E-2</v>
      </c>
      <c r="BH51" s="63">
        <f>('LCOE parameters'!$C$28*Assumptions!$B$10)</f>
        <v>7.0000000000000007E-2</v>
      </c>
      <c r="BI51" s="63">
        <f>('LCOE parameters'!$C$28*Assumptions!$B$10)</f>
        <v>7.0000000000000007E-2</v>
      </c>
      <c r="BJ51" s="63">
        <f>('LCOE parameters'!$C$28*Assumptions!$B$10)</f>
        <v>7.0000000000000007E-2</v>
      </c>
      <c r="BK51" s="63">
        <f>('LCOE parameters'!$C$28*Assumptions!$B$10)</f>
        <v>7.0000000000000007E-2</v>
      </c>
      <c r="BL51" s="63">
        <f>('LCOE parameters'!$C$28*Assumptions!$B$10)</f>
        <v>7.0000000000000007E-2</v>
      </c>
      <c r="BM51" s="63">
        <f>('LCOE parameters'!$C$28*Assumptions!$B$10)</f>
        <v>7.0000000000000007E-2</v>
      </c>
      <c r="BN51" s="63">
        <f>('LCOE parameters'!$C$28*Assumptions!$B$10)</f>
        <v>7.0000000000000007E-2</v>
      </c>
      <c r="BO51" s="63">
        <f>('LCOE parameters'!$C$28*Assumptions!$B$10)</f>
        <v>7.0000000000000007E-2</v>
      </c>
      <c r="BP51" s="63">
        <f>('LCOE parameters'!$C$28*Assumptions!$B$10)</f>
        <v>7.0000000000000007E-2</v>
      </c>
    </row>
    <row r="52" spans="1:68">
      <c r="A52" s="58" t="s">
        <v>173</v>
      </c>
      <c r="B52" s="63">
        <f>('LCOE parameters'!$C$29*Assumptions!$B$11)</f>
        <v>7.0000000000000007E-2</v>
      </c>
      <c r="C52" s="63">
        <f>('LCOE parameters'!$C$29*Assumptions!$B$11)</f>
        <v>7.0000000000000007E-2</v>
      </c>
      <c r="D52" s="63">
        <f>('LCOE parameters'!$C$29*Assumptions!$B$11)</f>
        <v>7.0000000000000007E-2</v>
      </c>
      <c r="E52" s="63">
        <f>('LCOE parameters'!$C$29*Assumptions!$B$11)</f>
        <v>7.0000000000000007E-2</v>
      </c>
      <c r="F52" s="63">
        <f>('LCOE parameters'!$C$29*Assumptions!$B$11)</f>
        <v>7.0000000000000007E-2</v>
      </c>
      <c r="G52" s="63">
        <f>('LCOE parameters'!$C$29*Assumptions!$B$11)</f>
        <v>7.0000000000000007E-2</v>
      </c>
      <c r="H52" s="63">
        <f>('LCOE parameters'!$C$29*Assumptions!$B$11)</f>
        <v>7.0000000000000007E-2</v>
      </c>
      <c r="I52" s="63">
        <f>('LCOE parameters'!$C$29*Assumptions!$B$11)</f>
        <v>7.0000000000000007E-2</v>
      </c>
      <c r="J52" s="63">
        <f>('LCOE parameters'!$C$29*Assumptions!$B$11)</f>
        <v>7.0000000000000007E-2</v>
      </c>
      <c r="K52" s="63">
        <f>('LCOE parameters'!$C$29*Assumptions!$B$11)</f>
        <v>7.0000000000000007E-2</v>
      </c>
      <c r="L52" s="63">
        <f>('LCOE parameters'!$C$29*Assumptions!$B$11)</f>
        <v>7.0000000000000007E-2</v>
      </c>
      <c r="M52" s="63">
        <f>('LCOE parameters'!$C$29*Assumptions!$B$11)</f>
        <v>7.0000000000000007E-2</v>
      </c>
      <c r="N52" s="63">
        <f>('LCOE parameters'!$C$29*Assumptions!$B$11)</f>
        <v>7.0000000000000007E-2</v>
      </c>
      <c r="O52" s="63">
        <f>('LCOE parameters'!$C$29*Assumptions!$B$11)</f>
        <v>7.0000000000000007E-2</v>
      </c>
      <c r="P52" s="63">
        <f>('LCOE parameters'!$C$29*Assumptions!$B$11)</f>
        <v>7.0000000000000007E-2</v>
      </c>
      <c r="Q52" s="63">
        <f>('LCOE parameters'!$C$29*Assumptions!$B$11)</f>
        <v>7.0000000000000007E-2</v>
      </c>
      <c r="R52" s="63">
        <f>('LCOE parameters'!$C$29*Assumptions!$B$11)</f>
        <v>7.0000000000000007E-2</v>
      </c>
      <c r="S52" s="63">
        <f>('LCOE parameters'!$C$29*Assumptions!$B$11)</f>
        <v>7.0000000000000007E-2</v>
      </c>
      <c r="T52" s="63">
        <f>('LCOE parameters'!$C$29*Assumptions!$B$11)</f>
        <v>7.0000000000000007E-2</v>
      </c>
      <c r="U52" s="63">
        <f>('LCOE parameters'!$C$29*Assumptions!$B$11)</f>
        <v>7.0000000000000007E-2</v>
      </c>
      <c r="V52" s="63">
        <f>('LCOE parameters'!$C$29*Assumptions!$B$11)</f>
        <v>7.0000000000000007E-2</v>
      </c>
      <c r="W52" s="63">
        <f>('LCOE parameters'!$C$29*Assumptions!$B$11)</f>
        <v>7.0000000000000007E-2</v>
      </c>
      <c r="X52" s="63">
        <f>('LCOE parameters'!$C$29*Assumptions!$B$11)</f>
        <v>7.0000000000000007E-2</v>
      </c>
      <c r="Y52" s="63">
        <f>('LCOE parameters'!$C$29*Assumptions!$B$11)</f>
        <v>7.0000000000000007E-2</v>
      </c>
      <c r="Z52" s="63">
        <f>('LCOE parameters'!$C$29*Assumptions!$B$11)</f>
        <v>7.0000000000000007E-2</v>
      </c>
      <c r="AA52" s="63">
        <f>('LCOE parameters'!$C$29*Assumptions!$B$11)</f>
        <v>7.0000000000000007E-2</v>
      </c>
      <c r="AB52" s="63">
        <f>('LCOE parameters'!$C$29*Assumptions!$B$11)</f>
        <v>7.0000000000000007E-2</v>
      </c>
      <c r="AC52" s="63">
        <f>('LCOE parameters'!$C$29*Assumptions!$B$11)</f>
        <v>7.0000000000000007E-2</v>
      </c>
      <c r="AD52" s="63">
        <f>('LCOE parameters'!$C$29*Assumptions!$B$11)</f>
        <v>7.0000000000000007E-2</v>
      </c>
      <c r="AE52" s="63">
        <f>('LCOE parameters'!$C$29*Assumptions!$B$11)</f>
        <v>7.0000000000000007E-2</v>
      </c>
      <c r="AF52" s="63">
        <f>('LCOE parameters'!$C$29*Assumptions!$B$11)</f>
        <v>7.0000000000000007E-2</v>
      </c>
      <c r="AG52" s="63">
        <f>('LCOE parameters'!$C$29*Assumptions!$B$11)</f>
        <v>7.0000000000000007E-2</v>
      </c>
      <c r="AH52" s="63">
        <f>('LCOE parameters'!$C$29*Assumptions!$B$11)</f>
        <v>7.0000000000000007E-2</v>
      </c>
      <c r="AI52" s="63">
        <f>('LCOE parameters'!$C$29*Assumptions!$B$11)</f>
        <v>7.0000000000000007E-2</v>
      </c>
      <c r="AJ52" s="63">
        <f>('LCOE parameters'!$C$29*Assumptions!$B$11)</f>
        <v>7.0000000000000007E-2</v>
      </c>
      <c r="AK52" s="63">
        <f>('LCOE parameters'!$C$29*Assumptions!$B$11)</f>
        <v>7.0000000000000007E-2</v>
      </c>
      <c r="AL52" s="63">
        <f>('LCOE parameters'!$C$29*Assumptions!$B$11)</f>
        <v>7.0000000000000007E-2</v>
      </c>
      <c r="AM52" s="63">
        <f>('LCOE parameters'!$C$29*Assumptions!$B$11)</f>
        <v>7.0000000000000007E-2</v>
      </c>
      <c r="AN52" s="63">
        <f>('LCOE parameters'!$C$29*Assumptions!$B$11)</f>
        <v>7.0000000000000007E-2</v>
      </c>
      <c r="AO52" s="63">
        <f>('LCOE parameters'!$C$29*Assumptions!$B$11)</f>
        <v>7.0000000000000007E-2</v>
      </c>
      <c r="AP52" s="63">
        <f>('LCOE parameters'!$C$29*Assumptions!$B$11)</f>
        <v>7.0000000000000007E-2</v>
      </c>
      <c r="AQ52" s="63">
        <f>('LCOE parameters'!$C$29*Assumptions!$B$11)</f>
        <v>7.0000000000000007E-2</v>
      </c>
      <c r="AR52" s="63">
        <f>('LCOE parameters'!$C$29*Assumptions!$B$11)</f>
        <v>7.0000000000000007E-2</v>
      </c>
      <c r="AS52" s="63">
        <f>('LCOE parameters'!$C$29*Assumptions!$B$11)</f>
        <v>7.0000000000000007E-2</v>
      </c>
      <c r="AT52" s="63">
        <f>('LCOE parameters'!$C$29*Assumptions!$B$11)</f>
        <v>7.0000000000000007E-2</v>
      </c>
      <c r="AU52" s="63">
        <f>('LCOE parameters'!$C$29*Assumptions!$B$11)</f>
        <v>7.0000000000000007E-2</v>
      </c>
      <c r="AV52" s="63">
        <f>('LCOE parameters'!$C$29*Assumptions!$B$11)</f>
        <v>7.0000000000000007E-2</v>
      </c>
      <c r="AW52" s="63">
        <f>('LCOE parameters'!$C$29*Assumptions!$B$11)</f>
        <v>7.0000000000000007E-2</v>
      </c>
      <c r="AX52" s="63">
        <f>('LCOE parameters'!$C$29*Assumptions!$B$11)</f>
        <v>7.0000000000000007E-2</v>
      </c>
      <c r="AY52" s="63">
        <f>('LCOE parameters'!$C$29*Assumptions!$B$11)</f>
        <v>7.0000000000000007E-2</v>
      </c>
      <c r="AZ52" s="63">
        <f>('LCOE parameters'!$C$29*Assumptions!$B$11)</f>
        <v>7.0000000000000007E-2</v>
      </c>
      <c r="BA52" s="63">
        <f>('LCOE parameters'!$C$29*Assumptions!$B$11)</f>
        <v>7.0000000000000007E-2</v>
      </c>
      <c r="BB52" s="63">
        <f>('LCOE parameters'!$C$29*Assumptions!$B$11)</f>
        <v>7.0000000000000007E-2</v>
      </c>
      <c r="BC52" s="63">
        <f>('LCOE parameters'!$C$29*Assumptions!$B$11)</f>
        <v>7.0000000000000007E-2</v>
      </c>
      <c r="BD52" s="63">
        <f>('LCOE parameters'!$C$29*Assumptions!$B$11)</f>
        <v>7.0000000000000007E-2</v>
      </c>
      <c r="BE52" s="63">
        <f>('LCOE parameters'!$C$29*Assumptions!$B$11)</f>
        <v>7.0000000000000007E-2</v>
      </c>
      <c r="BF52" s="63">
        <f>('LCOE parameters'!$C$29*Assumptions!$B$11)</f>
        <v>7.0000000000000007E-2</v>
      </c>
      <c r="BG52" s="63">
        <f>('LCOE parameters'!$C$29*Assumptions!$B$11)</f>
        <v>7.0000000000000007E-2</v>
      </c>
      <c r="BH52" s="63">
        <f>('LCOE parameters'!$C$29*Assumptions!$B$11)</f>
        <v>7.0000000000000007E-2</v>
      </c>
      <c r="BI52" s="63">
        <f>('LCOE parameters'!$C$29*Assumptions!$B$11)</f>
        <v>7.0000000000000007E-2</v>
      </c>
      <c r="BJ52" s="63">
        <f>('LCOE parameters'!$C$29*Assumptions!$B$11)</f>
        <v>7.0000000000000007E-2</v>
      </c>
      <c r="BK52" s="63">
        <f>('LCOE parameters'!$C$29*Assumptions!$B$11)</f>
        <v>7.0000000000000007E-2</v>
      </c>
      <c r="BL52" s="63">
        <f>('LCOE parameters'!$C$29*Assumptions!$B$11)</f>
        <v>7.0000000000000007E-2</v>
      </c>
      <c r="BM52" s="63">
        <f>('LCOE parameters'!$C$29*Assumptions!$B$11)</f>
        <v>7.0000000000000007E-2</v>
      </c>
      <c r="BN52" s="63">
        <f>('LCOE parameters'!$C$29*Assumptions!$B$11)</f>
        <v>7.0000000000000007E-2</v>
      </c>
      <c r="BO52" s="63">
        <f>('LCOE parameters'!$C$29*Assumptions!$B$11)</f>
        <v>7.0000000000000007E-2</v>
      </c>
      <c r="BP52" s="63">
        <f>('LCOE parameters'!$C$29*Assumptions!$B$11)</f>
        <v>7.0000000000000007E-2</v>
      </c>
    </row>
    <row r="53" spans="1:68">
      <c r="A53" s="58" t="s">
        <v>151</v>
      </c>
      <c r="B53" s="58">
        <f>'LCOE parameters'!$C$42</f>
        <v>60</v>
      </c>
      <c r="C53" s="58">
        <f>'LCOE parameters'!$C$42</f>
        <v>60</v>
      </c>
      <c r="D53" s="58">
        <f>'LCOE parameters'!$C$42</f>
        <v>60</v>
      </c>
      <c r="E53" s="58">
        <f>'LCOE parameters'!$C$42</f>
        <v>60</v>
      </c>
      <c r="F53" s="58">
        <f>'LCOE parameters'!$C$42</f>
        <v>60</v>
      </c>
      <c r="G53" s="58">
        <f>'LCOE parameters'!$C$42</f>
        <v>60</v>
      </c>
      <c r="H53" s="58">
        <f>'LCOE parameters'!$C$42</f>
        <v>60</v>
      </c>
      <c r="I53" s="58">
        <f>'LCOE parameters'!$C$42</f>
        <v>60</v>
      </c>
      <c r="J53" s="58">
        <f>'LCOE parameters'!$C$42</f>
        <v>60</v>
      </c>
      <c r="K53" s="58">
        <f>'LCOE parameters'!$C$42</f>
        <v>60</v>
      </c>
      <c r="L53" s="58">
        <f>'LCOE parameters'!$C$42</f>
        <v>60</v>
      </c>
      <c r="M53" s="58">
        <f>'LCOE parameters'!$C$42</f>
        <v>60</v>
      </c>
      <c r="N53" s="58">
        <f>'LCOE parameters'!$C$42</f>
        <v>60</v>
      </c>
      <c r="O53" s="58">
        <f>'LCOE parameters'!$C$42</f>
        <v>60</v>
      </c>
      <c r="P53" s="58">
        <f>'LCOE parameters'!$C$42</f>
        <v>60</v>
      </c>
      <c r="Q53" s="58">
        <f>'LCOE parameters'!$C$42</f>
        <v>60</v>
      </c>
      <c r="R53" s="58">
        <f>'LCOE parameters'!$C$42</f>
        <v>60</v>
      </c>
      <c r="S53" s="58">
        <f>'LCOE parameters'!$C$42</f>
        <v>60</v>
      </c>
      <c r="T53" s="58">
        <f>'LCOE parameters'!$C$42</f>
        <v>60</v>
      </c>
      <c r="U53" s="58">
        <f>'LCOE parameters'!$C$42</f>
        <v>60</v>
      </c>
      <c r="V53" s="58">
        <f>'LCOE parameters'!$C$42</f>
        <v>60</v>
      </c>
      <c r="W53" s="58">
        <f>'LCOE parameters'!$C$42</f>
        <v>60</v>
      </c>
      <c r="X53" s="58">
        <f>'LCOE parameters'!$C$42</f>
        <v>60</v>
      </c>
      <c r="Y53" s="58">
        <f>'LCOE parameters'!$C$42</f>
        <v>60</v>
      </c>
      <c r="Z53" s="58">
        <f>'LCOE parameters'!$C$42</f>
        <v>60</v>
      </c>
      <c r="AA53" s="58">
        <f>'LCOE parameters'!$C$42</f>
        <v>60</v>
      </c>
      <c r="AB53" s="58">
        <f>'LCOE parameters'!$C$42</f>
        <v>60</v>
      </c>
      <c r="AC53" s="58">
        <f>'LCOE parameters'!$C$42</f>
        <v>60</v>
      </c>
      <c r="AD53" s="58">
        <f>'LCOE parameters'!$C$42</f>
        <v>60</v>
      </c>
      <c r="AE53" s="58">
        <f>'LCOE parameters'!$C$42</f>
        <v>60</v>
      </c>
      <c r="AF53" s="58">
        <f>'LCOE parameters'!$C$42</f>
        <v>60</v>
      </c>
      <c r="AG53" s="58">
        <f>'LCOE parameters'!$C$42</f>
        <v>60</v>
      </c>
      <c r="AH53" s="58">
        <f>'LCOE parameters'!$C$42</f>
        <v>60</v>
      </c>
      <c r="AI53" s="58">
        <f>'LCOE parameters'!$C$42</f>
        <v>60</v>
      </c>
      <c r="AJ53" s="58">
        <f>'LCOE parameters'!$C$42</f>
        <v>60</v>
      </c>
      <c r="AK53" s="58">
        <f>'LCOE parameters'!$C$42</f>
        <v>60</v>
      </c>
      <c r="AL53" s="58">
        <f>'LCOE parameters'!$C$42</f>
        <v>60</v>
      </c>
      <c r="AM53" s="58">
        <f>'LCOE parameters'!$C$42</f>
        <v>60</v>
      </c>
      <c r="AN53" s="58">
        <f>'LCOE parameters'!$C$42</f>
        <v>60</v>
      </c>
      <c r="AO53" s="58">
        <f>'LCOE parameters'!$C$42</f>
        <v>60</v>
      </c>
      <c r="AP53" s="58">
        <f>'LCOE parameters'!$C$42</f>
        <v>60</v>
      </c>
      <c r="AQ53" s="58">
        <f>'LCOE parameters'!$C$42</f>
        <v>60</v>
      </c>
      <c r="AR53" s="58">
        <f>'LCOE parameters'!$C$42</f>
        <v>60</v>
      </c>
      <c r="AS53" s="58">
        <f>'LCOE parameters'!$C$42</f>
        <v>60</v>
      </c>
      <c r="AT53" s="58">
        <f>'LCOE parameters'!$C$42</f>
        <v>60</v>
      </c>
      <c r="AU53" s="58">
        <f>'LCOE parameters'!$C$42</f>
        <v>60</v>
      </c>
      <c r="AV53" s="58">
        <f>'LCOE parameters'!$C$42</f>
        <v>60</v>
      </c>
      <c r="AW53" s="58">
        <f>'LCOE parameters'!$C$42</f>
        <v>60</v>
      </c>
      <c r="AX53" s="58">
        <f>'LCOE parameters'!$C$42</f>
        <v>60</v>
      </c>
      <c r="AY53" s="58">
        <f>'LCOE parameters'!$C$42</f>
        <v>60</v>
      </c>
      <c r="AZ53" s="58">
        <f>'LCOE parameters'!$C$42</f>
        <v>60</v>
      </c>
      <c r="BA53" s="58">
        <f>'LCOE parameters'!$C$42</f>
        <v>60</v>
      </c>
      <c r="BB53" s="58">
        <f>'LCOE parameters'!$C$42</f>
        <v>60</v>
      </c>
      <c r="BC53" s="58">
        <f>'LCOE parameters'!$C$42</f>
        <v>60</v>
      </c>
      <c r="BD53" s="58">
        <f>'LCOE parameters'!$C$42</f>
        <v>60</v>
      </c>
      <c r="BE53" s="58">
        <f>'LCOE parameters'!$C$42</f>
        <v>60</v>
      </c>
      <c r="BF53" s="58">
        <f>'LCOE parameters'!$C$42</f>
        <v>60</v>
      </c>
      <c r="BG53" s="58">
        <f>'LCOE parameters'!$C$42</f>
        <v>60</v>
      </c>
      <c r="BH53" s="58">
        <f>'LCOE parameters'!$C$42</f>
        <v>60</v>
      </c>
      <c r="BI53" s="58">
        <f>'LCOE parameters'!$C$42</f>
        <v>60</v>
      </c>
      <c r="BJ53" s="58">
        <f>'LCOE parameters'!$C$42</f>
        <v>60</v>
      </c>
      <c r="BK53" s="58">
        <f>'LCOE parameters'!$C$42</f>
        <v>60</v>
      </c>
      <c r="BL53" s="58">
        <f>'LCOE parameters'!$C$42</f>
        <v>60</v>
      </c>
      <c r="BM53" s="58">
        <f>'LCOE parameters'!$C$42</f>
        <v>60</v>
      </c>
      <c r="BN53" s="58">
        <f>'LCOE parameters'!$C$42</f>
        <v>60</v>
      </c>
      <c r="BO53" s="58">
        <f>'LCOE parameters'!$C$42</f>
        <v>60</v>
      </c>
      <c r="BP53" s="58">
        <f>'LCOE parameters'!$C$42</f>
        <v>60</v>
      </c>
    </row>
    <row r="54" spans="1:68">
      <c r="A54" s="58" t="s">
        <v>160</v>
      </c>
      <c r="B54" s="58">
        <f>SUM(B40:B44,B46:B47,B49)/((1+B52)^B38)</f>
        <v>174549202.58688346</v>
      </c>
      <c r="C54" s="58">
        <f t="shared" ref="C54:BN54" si="6">SUM(C40:C44,C46:C47,C49)/((1+C52)^C38)</f>
        <v>286435096.01411676</v>
      </c>
      <c r="D54" s="58">
        <f t="shared" si="6"/>
        <v>382934669.30153424</v>
      </c>
      <c r="E54" s="58">
        <f t="shared" si="6"/>
        <v>465582231.016828</v>
      </c>
      <c r="F54" s="58">
        <f t="shared" si="6"/>
        <v>535777190.21266294</v>
      </c>
      <c r="G54" s="58">
        <f t="shared" si="6"/>
        <v>594795140.22034287</v>
      </c>
      <c r="H54" s="58">
        <f t="shared" si="6"/>
        <v>643798069.57714283</v>
      </c>
      <c r="I54" s="58">
        <f t="shared" si="6"/>
        <v>893860702.80373824</v>
      </c>
      <c r="J54" s="58">
        <f t="shared" si="6"/>
        <v>827011293.91213202</v>
      </c>
      <c r="K54" s="58">
        <f t="shared" si="6"/>
        <v>765082947.12920272</v>
      </c>
      <c r="L54" s="58">
        <f t="shared" si="6"/>
        <v>707717890.59687471</v>
      </c>
      <c r="M54" s="58">
        <f t="shared" si="6"/>
        <v>654584102.32169545</v>
      </c>
      <c r="N54" s="58">
        <f t="shared" si="6"/>
        <v>605373472.24347425</v>
      </c>
      <c r="O54" s="58">
        <f t="shared" si="6"/>
        <v>559800094.5753684</v>
      </c>
      <c r="P54" s="58">
        <f t="shared" si="6"/>
        <v>517598681.23662698</v>
      </c>
      <c r="Q54" s="58">
        <f t="shared" si="6"/>
        <v>478523087.84261799</v>
      </c>
      <c r="R54" s="58">
        <f t="shared" si="6"/>
        <v>442344944.31528991</v>
      </c>
      <c r="S54" s="58">
        <f t="shared" si="6"/>
        <v>408852382.73395276</v>
      </c>
      <c r="T54" s="58">
        <f t="shared" si="6"/>
        <v>377848855.56412703</v>
      </c>
      <c r="U54" s="58">
        <f t="shared" si="6"/>
        <v>349152037.88390166</v>
      </c>
      <c r="V54" s="58">
        <f t="shared" si="6"/>
        <v>322592807.67527521</v>
      </c>
      <c r="W54" s="58">
        <f t="shared" si="6"/>
        <v>298014298.66467565</v>
      </c>
      <c r="X54" s="58">
        <f t="shared" si="6"/>
        <v>275271020.58444482</v>
      </c>
      <c r="Y54" s="58">
        <f t="shared" si="6"/>
        <v>254228042.0875501</v>
      </c>
      <c r="Z54" s="58">
        <f t="shared" si="6"/>
        <v>234760231.88305742</v>
      </c>
      <c r="AA54" s="58">
        <f t="shared" si="6"/>
        <v>216751553.97169429</v>
      </c>
      <c r="AB54" s="58">
        <f t="shared" si="6"/>
        <v>200094413.15081522</v>
      </c>
      <c r="AC54" s="58">
        <f t="shared" si="6"/>
        <v>184689047.22774941</v>
      </c>
      <c r="AD54" s="58">
        <f t="shared" si="6"/>
        <v>170442962.63129401</v>
      </c>
      <c r="AE54" s="58">
        <f t="shared" si="6"/>
        <v>157270410.34432679</v>
      </c>
      <c r="AF54" s="58">
        <f t="shared" si="6"/>
        <v>145091899.29737565</v>
      </c>
      <c r="AG54" s="58">
        <f t="shared" si="6"/>
        <v>133833744.56464058</v>
      </c>
      <c r="AH54" s="58">
        <f t="shared" si="6"/>
        <v>123427647.89147986</v>
      </c>
      <c r="AI54" s="58">
        <f t="shared" si="6"/>
        <v>113810308.25672658</v>
      </c>
      <c r="AJ54" s="58">
        <f t="shared" si="6"/>
        <v>104923060.33532627</v>
      </c>
      <c r="AK54" s="58">
        <f t="shared" si="6"/>
        <v>96711538.877519131</v>
      </c>
      <c r="AL54" s="58">
        <f t="shared" si="6"/>
        <v>89125367.160943866</v>
      </c>
      <c r="AM54" s="58">
        <f t="shared" si="6"/>
        <v>82117867.802341476</v>
      </c>
      <c r="AN54" s="58">
        <f t="shared" si="6"/>
        <v>75645794.336681724</v>
      </c>
      <c r="AO54" s="58">
        <f t="shared" si="6"/>
        <v>69669082.08416228</v>
      </c>
      <c r="AP54" s="58">
        <f t="shared" si="6"/>
        <v>64150616.930234581</v>
      </c>
      <c r="AQ54" s="58">
        <f t="shared" si="6"/>
        <v>59056020.741147444</v>
      </c>
      <c r="AR54" s="58">
        <f t="shared" si="6"/>
        <v>54353452.227985822</v>
      </c>
      <c r="AS54" s="58">
        <f t="shared" si="6"/>
        <v>50013422.156295046</v>
      </c>
      <c r="AT54" s="58">
        <f t="shared" si="6"/>
        <v>46008621.876570515</v>
      </c>
      <c r="AU54" s="58">
        <f t="shared" si="6"/>
        <v>42313764.223570496</v>
      </c>
      <c r="AV54" s="58">
        <f t="shared" si="6"/>
        <v>38905435.899965368</v>
      </c>
      <c r="AW54" s="58">
        <f t="shared" si="6"/>
        <v>35761960.522626765</v>
      </c>
      <c r="AX54" s="58">
        <f t="shared" si="6"/>
        <v>32863271.568220727</v>
      </c>
      <c r="AY54" s="58">
        <f t="shared" si="6"/>
        <v>30190794.509010028</v>
      </c>
      <c r="AZ54" s="58">
        <f t="shared" si="6"/>
        <v>27727337.480182327</v>
      </c>
      <c r="BA54" s="58">
        <f t="shared" si="6"/>
        <v>25456989.866870597</v>
      </c>
      <c r="BB54" s="58">
        <f t="shared" si="6"/>
        <v>23365028.242572062</v>
      </c>
      <c r="BC54" s="58">
        <f t="shared" si="6"/>
        <v>21437829.131132513</v>
      </c>
      <c r="BD54" s="58">
        <f t="shared" si="6"/>
        <v>19662788.102062639</v>
      </c>
      <c r="BE54" s="58">
        <f t="shared" si="6"/>
        <v>18028244.743891638</v>
      </c>
      <c r="BF54" s="58">
        <f t="shared" si="6"/>
        <v>16523413.092729028</v>
      </c>
      <c r="BG54" s="58">
        <f t="shared" si="6"/>
        <v>15138317.123371894</v>
      </c>
      <c r="BH54" s="58">
        <f t="shared" si="6"/>
        <v>13863730.938323719</v>
      </c>
      <c r="BI54" s="58">
        <f t="shared" si="6"/>
        <v>12691123.316133168</v>
      </c>
      <c r="BJ54" s="58">
        <f t="shared" si="6"/>
        <v>11612606.304656532</v>
      </c>
      <c r="BK54" s="58">
        <f t="shared" si="6"/>
        <v>10620887.567326235</v>
      </c>
      <c r="BL54" s="58">
        <f t="shared" si="6"/>
        <v>9709226.2113910504</v>
      </c>
      <c r="BM54" s="58">
        <f t="shared" si="6"/>
        <v>8871391.8464936782</v>
      </c>
      <c r="BN54" s="58">
        <f t="shared" si="6"/>
        <v>8101626.6399732921</v>
      </c>
      <c r="BO54" s="58">
        <f>SUM(BO40:BO44,BO46:BO47,BO49)/((1+BO52)^BO38)</f>
        <v>7394610.1520212796</v>
      </c>
      <c r="BP54" s="58">
        <f>SUM(BP40:BP44,BP46:BP47,BP49)/((1+BP52)^BP38)</f>
        <v>6745426.7493687216</v>
      </c>
    </row>
    <row r="55" spans="1:68">
      <c r="A55" s="58" t="s">
        <v>159</v>
      </c>
      <c r="B55" s="58">
        <f>SUM(B40:B44,B46:B47)/((1+B52)^B38)</f>
        <v>131936350.14822155</v>
      </c>
      <c r="C55" s="58">
        <f t="shared" ref="C55:BN55" si="7">SUM(C40:C44,C46:C47)/((1+C52)^C38)</f>
        <v>246610000.2770496</v>
      </c>
      <c r="D55" s="58">
        <f t="shared" si="7"/>
        <v>345714953.65941536</v>
      </c>
      <c r="E55" s="58">
        <f t="shared" si="7"/>
        <v>430797450.04288512</v>
      </c>
      <c r="F55" s="58">
        <f t="shared" si="7"/>
        <v>503268049.11552006</v>
      </c>
      <c r="G55" s="58">
        <f t="shared" si="7"/>
        <v>564412765.36320007</v>
      </c>
      <c r="H55" s="58">
        <f t="shared" si="7"/>
        <v>615403326.72000003</v>
      </c>
      <c r="I55" s="58">
        <f t="shared" si="7"/>
        <v>893860702.80373824</v>
      </c>
      <c r="J55" s="58">
        <f t="shared" si="7"/>
        <v>827011293.91213202</v>
      </c>
      <c r="K55" s="58">
        <f t="shared" si="7"/>
        <v>765082947.12920272</v>
      </c>
      <c r="L55" s="58">
        <f t="shared" si="7"/>
        <v>707717890.59687471</v>
      </c>
      <c r="M55" s="58">
        <f t="shared" si="7"/>
        <v>654584102.32169545</v>
      </c>
      <c r="N55" s="58">
        <f t="shared" si="7"/>
        <v>605373472.24347425</v>
      </c>
      <c r="O55" s="58">
        <f t="shared" si="7"/>
        <v>559800094.5753684</v>
      </c>
      <c r="P55" s="58">
        <f t="shared" si="7"/>
        <v>517598681.23662698</v>
      </c>
      <c r="Q55" s="58">
        <f t="shared" si="7"/>
        <v>478523087.84261799</v>
      </c>
      <c r="R55" s="58">
        <f t="shared" si="7"/>
        <v>442344944.31528991</v>
      </c>
      <c r="S55" s="58">
        <f t="shared" si="7"/>
        <v>408852382.73395276</v>
      </c>
      <c r="T55" s="58">
        <f t="shared" si="7"/>
        <v>377848855.56412703</v>
      </c>
      <c r="U55" s="58">
        <f t="shared" si="7"/>
        <v>349152037.88390166</v>
      </c>
      <c r="V55" s="58">
        <f t="shared" si="7"/>
        <v>322592807.67527521</v>
      </c>
      <c r="W55" s="58">
        <f t="shared" si="7"/>
        <v>298014298.66467565</v>
      </c>
      <c r="X55" s="58">
        <f t="shared" si="7"/>
        <v>275271020.58444482</v>
      </c>
      <c r="Y55" s="58">
        <f t="shared" si="7"/>
        <v>254228042.0875501</v>
      </c>
      <c r="Z55" s="58">
        <f t="shared" si="7"/>
        <v>234760231.88305742</v>
      </c>
      <c r="AA55" s="58">
        <f t="shared" si="7"/>
        <v>216751553.97169429</v>
      </c>
      <c r="AB55" s="58">
        <f t="shared" si="7"/>
        <v>200094413.15081522</v>
      </c>
      <c r="AC55" s="58">
        <f t="shared" si="7"/>
        <v>184689047.22774941</v>
      </c>
      <c r="AD55" s="58">
        <f t="shared" si="7"/>
        <v>170442962.63129401</v>
      </c>
      <c r="AE55" s="58">
        <f t="shared" si="7"/>
        <v>157270410.34432679</v>
      </c>
      <c r="AF55" s="58">
        <f t="shared" si="7"/>
        <v>145091899.29737565</v>
      </c>
      <c r="AG55" s="58">
        <f t="shared" si="7"/>
        <v>133833744.56464058</v>
      </c>
      <c r="AH55" s="58">
        <f t="shared" si="7"/>
        <v>123427647.89147986</v>
      </c>
      <c r="AI55" s="58">
        <f t="shared" si="7"/>
        <v>113810308.25672658</v>
      </c>
      <c r="AJ55" s="58">
        <f t="shared" si="7"/>
        <v>104923060.33532627</v>
      </c>
      <c r="AK55" s="58">
        <f t="shared" si="7"/>
        <v>96711538.877519131</v>
      </c>
      <c r="AL55" s="58">
        <f t="shared" si="7"/>
        <v>89125367.160943866</v>
      </c>
      <c r="AM55" s="58">
        <f t="shared" si="7"/>
        <v>82117867.802341476</v>
      </c>
      <c r="AN55" s="58">
        <f t="shared" si="7"/>
        <v>75645794.336681724</v>
      </c>
      <c r="AO55" s="58">
        <f t="shared" si="7"/>
        <v>69669082.08416228</v>
      </c>
      <c r="AP55" s="58">
        <f t="shared" si="7"/>
        <v>64150616.930234581</v>
      </c>
      <c r="AQ55" s="58">
        <f t="shared" si="7"/>
        <v>59056020.741147444</v>
      </c>
      <c r="AR55" s="58">
        <f t="shared" si="7"/>
        <v>54353452.227985822</v>
      </c>
      <c r="AS55" s="58">
        <f t="shared" si="7"/>
        <v>50013422.156295046</v>
      </c>
      <c r="AT55" s="58">
        <f t="shared" si="7"/>
        <v>46008621.876570515</v>
      </c>
      <c r="AU55" s="58">
        <f t="shared" si="7"/>
        <v>42313764.223570496</v>
      </c>
      <c r="AV55" s="58">
        <f t="shared" si="7"/>
        <v>38905435.899965368</v>
      </c>
      <c r="AW55" s="58">
        <f t="shared" si="7"/>
        <v>35761960.522626765</v>
      </c>
      <c r="AX55" s="58">
        <f t="shared" si="7"/>
        <v>32863271.568220727</v>
      </c>
      <c r="AY55" s="58">
        <f t="shared" si="7"/>
        <v>30190794.509010028</v>
      </c>
      <c r="AZ55" s="58">
        <f t="shared" si="7"/>
        <v>27727337.480182327</v>
      </c>
      <c r="BA55" s="58">
        <f t="shared" si="7"/>
        <v>25456989.866870597</v>
      </c>
      <c r="BB55" s="58">
        <f t="shared" si="7"/>
        <v>23365028.242572062</v>
      </c>
      <c r="BC55" s="58">
        <f t="shared" si="7"/>
        <v>21437829.131132513</v>
      </c>
      <c r="BD55" s="58">
        <f t="shared" si="7"/>
        <v>19662788.102062639</v>
      </c>
      <c r="BE55" s="58">
        <f t="shared" si="7"/>
        <v>18028244.743891638</v>
      </c>
      <c r="BF55" s="58">
        <f t="shared" si="7"/>
        <v>16523413.092729028</v>
      </c>
      <c r="BG55" s="58">
        <f t="shared" si="7"/>
        <v>15138317.123371894</v>
      </c>
      <c r="BH55" s="58">
        <f t="shared" si="7"/>
        <v>13863730.938323719</v>
      </c>
      <c r="BI55" s="58">
        <f t="shared" si="7"/>
        <v>12691123.316133168</v>
      </c>
      <c r="BJ55" s="58">
        <f t="shared" si="7"/>
        <v>11612606.304656532</v>
      </c>
      <c r="BK55" s="58">
        <f t="shared" si="7"/>
        <v>10620887.567326235</v>
      </c>
      <c r="BL55" s="58">
        <f t="shared" si="7"/>
        <v>9709226.2113910504</v>
      </c>
      <c r="BM55" s="58">
        <f t="shared" si="7"/>
        <v>8871391.8464936782</v>
      </c>
      <c r="BN55" s="58">
        <f t="shared" si="7"/>
        <v>8101626.6399732921</v>
      </c>
      <c r="BO55" s="58">
        <f>SUM(BO40:BO44,BO46:BO47)/((1+BO52)^BO38)</f>
        <v>7394610.1520212796</v>
      </c>
      <c r="BP55" s="58">
        <f>SUM(BP40:BP44,BP46:BP47)/((1+BP52)^BP38)</f>
        <v>6745426.7493687216</v>
      </c>
    </row>
    <row r="56" spans="1:68">
      <c r="A56" s="58" t="s">
        <v>162</v>
      </c>
      <c r="B56" s="58">
        <f>SUM(B40:B47,B49)/((1+B52)^B38)</f>
        <v>174549202.58688346</v>
      </c>
      <c r="C56" s="58">
        <f t="shared" ref="C56:BN56" si="8">SUM(C40:C47,C49)/((1+C52)^C38)</f>
        <v>286435096.01411676</v>
      </c>
      <c r="D56" s="58">
        <f t="shared" si="8"/>
        <v>382934669.30153424</v>
      </c>
      <c r="E56" s="58">
        <f t="shared" si="8"/>
        <v>465582231.016828</v>
      </c>
      <c r="F56" s="58">
        <f t="shared" si="8"/>
        <v>535777190.21266294</v>
      </c>
      <c r="G56" s="58">
        <f t="shared" si="8"/>
        <v>594795140.22034287</v>
      </c>
      <c r="H56" s="58">
        <f t="shared" si="8"/>
        <v>643798069.57714283</v>
      </c>
      <c r="I56" s="58">
        <f>SUM(I40:I47,I49)/((1+I52)^I38)</f>
        <v>893860702.80373824</v>
      </c>
      <c r="J56" s="58">
        <f t="shared" si="8"/>
        <v>827011293.91213202</v>
      </c>
      <c r="K56" s="58">
        <f t="shared" si="8"/>
        <v>765082947.12920272</v>
      </c>
      <c r="L56" s="58">
        <f t="shared" si="8"/>
        <v>707717890.59687471</v>
      </c>
      <c r="M56" s="58">
        <f t="shared" si="8"/>
        <v>654584102.32169545</v>
      </c>
      <c r="N56" s="58">
        <f t="shared" si="8"/>
        <v>605373472.24347425</v>
      </c>
      <c r="O56" s="58">
        <f t="shared" si="8"/>
        <v>559800094.5753684</v>
      </c>
      <c r="P56" s="58">
        <f t="shared" si="8"/>
        <v>517598681.23662698</v>
      </c>
      <c r="Q56" s="58">
        <f t="shared" si="8"/>
        <v>478523087.84261799</v>
      </c>
      <c r="R56" s="58">
        <f t="shared" si="8"/>
        <v>442344944.31528991</v>
      </c>
      <c r="S56" s="58">
        <f t="shared" si="8"/>
        <v>408852382.73395276</v>
      </c>
      <c r="T56" s="58">
        <f t="shared" si="8"/>
        <v>377848855.56412703</v>
      </c>
      <c r="U56" s="58">
        <f t="shared" si="8"/>
        <v>349152037.88390166</v>
      </c>
      <c r="V56" s="58">
        <f t="shared" si="8"/>
        <v>322592807.67527521</v>
      </c>
      <c r="W56" s="58">
        <f t="shared" si="8"/>
        <v>298014298.66467565</v>
      </c>
      <c r="X56" s="58">
        <f t="shared" si="8"/>
        <v>275271020.58444482</v>
      </c>
      <c r="Y56" s="58">
        <f t="shared" si="8"/>
        <v>254228042.0875501</v>
      </c>
      <c r="Z56" s="58">
        <f t="shared" si="8"/>
        <v>234760231.88305742</v>
      </c>
      <c r="AA56" s="58">
        <f t="shared" si="8"/>
        <v>216751553.97169429</v>
      </c>
      <c r="AB56" s="58">
        <f t="shared" si="8"/>
        <v>200094413.15081522</v>
      </c>
      <c r="AC56" s="58">
        <f t="shared" si="8"/>
        <v>184689047.22774941</v>
      </c>
      <c r="AD56" s="58">
        <f t="shared" si="8"/>
        <v>170442962.63129401</v>
      </c>
      <c r="AE56" s="58">
        <f t="shared" si="8"/>
        <v>157270410.34432679</v>
      </c>
      <c r="AF56" s="58">
        <f t="shared" si="8"/>
        <v>145091899.29737565</v>
      </c>
      <c r="AG56" s="58">
        <f t="shared" si="8"/>
        <v>133833744.56464058</v>
      </c>
      <c r="AH56" s="58">
        <f t="shared" si="8"/>
        <v>123427647.89147986</v>
      </c>
      <c r="AI56" s="58">
        <f t="shared" si="8"/>
        <v>113810308.25672658</v>
      </c>
      <c r="AJ56" s="58">
        <f t="shared" si="8"/>
        <v>104923060.33532627</v>
      </c>
      <c r="AK56" s="58">
        <f t="shared" si="8"/>
        <v>96711538.877519131</v>
      </c>
      <c r="AL56" s="58">
        <f t="shared" si="8"/>
        <v>89125367.160943866</v>
      </c>
      <c r="AM56" s="58">
        <f t="shared" si="8"/>
        <v>82117867.802341476</v>
      </c>
      <c r="AN56" s="58">
        <f t="shared" si="8"/>
        <v>75645794.336681724</v>
      </c>
      <c r="AO56" s="58">
        <f t="shared" si="8"/>
        <v>69669082.08416228</v>
      </c>
      <c r="AP56" s="58">
        <f t="shared" si="8"/>
        <v>64150616.930234581</v>
      </c>
      <c r="AQ56" s="58">
        <f t="shared" si="8"/>
        <v>59056020.741147444</v>
      </c>
      <c r="AR56" s="58">
        <f t="shared" si="8"/>
        <v>54353452.227985822</v>
      </c>
      <c r="AS56" s="58">
        <f t="shared" si="8"/>
        <v>50013422.156295046</v>
      </c>
      <c r="AT56" s="58">
        <f t="shared" si="8"/>
        <v>46008621.876570515</v>
      </c>
      <c r="AU56" s="58">
        <f t="shared" si="8"/>
        <v>42313764.223570496</v>
      </c>
      <c r="AV56" s="58">
        <f t="shared" si="8"/>
        <v>38905435.899965368</v>
      </c>
      <c r="AW56" s="58">
        <f t="shared" si="8"/>
        <v>35761960.522626765</v>
      </c>
      <c r="AX56" s="58">
        <f t="shared" si="8"/>
        <v>32863271.568220727</v>
      </c>
      <c r="AY56" s="58">
        <f t="shared" si="8"/>
        <v>30190794.509010028</v>
      </c>
      <c r="AZ56" s="58">
        <f t="shared" si="8"/>
        <v>27727337.480182327</v>
      </c>
      <c r="BA56" s="58">
        <f t="shared" si="8"/>
        <v>25456989.866870597</v>
      </c>
      <c r="BB56" s="58">
        <f t="shared" si="8"/>
        <v>23365028.242572062</v>
      </c>
      <c r="BC56" s="58">
        <f t="shared" si="8"/>
        <v>21437829.131132513</v>
      </c>
      <c r="BD56" s="58">
        <f t="shared" si="8"/>
        <v>19662788.102062639</v>
      </c>
      <c r="BE56" s="58">
        <f t="shared" si="8"/>
        <v>18028244.743891638</v>
      </c>
      <c r="BF56" s="58">
        <f t="shared" si="8"/>
        <v>16523413.092729028</v>
      </c>
      <c r="BG56" s="58">
        <f t="shared" si="8"/>
        <v>15138317.123371894</v>
      </c>
      <c r="BH56" s="58">
        <f t="shared" si="8"/>
        <v>13863730.938323719</v>
      </c>
      <c r="BI56" s="58">
        <f t="shared" si="8"/>
        <v>12691123.316133168</v>
      </c>
      <c r="BJ56" s="58">
        <f t="shared" si="8"/>
        <v>11612606.304656532</v>
      </c>
      <c r="BK56" s="58">
        <f t="shared" si="8"/>
        <v>10620887.567326235</v>
      </c>
      <c r="BL56" s="58">
        <f t="shared" si="8"/>
        <v>9709226.2113910504</v>
      </c>
      <c r="BM56" s="58">
        <f t="shared" si="8"/>
        <v>8871391.8464936782</v>
      </c>
      <c r="BN56" s="58">
        <f t="shared" si="8"/>
        <v>8101626.6399732921</v>
      </c>
      <c r="BO56" s="58">
        <f>SUM(BO40:BO47,BO49)/((1+BO52)^BO38)</f>
        <v>7394610.1520212796</v>
      </c>
      <c r="BP56" s="58">
        <f>SUM(BP40:BP47,BP49)/((1+BP52)^BP38)</f>
        <v>6745426.7493687216</v>
      </c>
    </row>
    <row r="57" spans="1:68">
      <c r="A57" s="58" t="s">
        <v>161</v>
      </c>
      <c r="B57" s="58">
        <f>SUM(B40:B47)/((1+B52)^B38)</f>
        <v>131936350.14822155</v>
      </c>
      <c r="C57" s="58">
        <f t="shared" ref="C57:BN57" si="9">SUM(C40:C47)/((1+C52)^C38)</f>
        <v>246610000.2770496</v>
      </c>
      <c r="D57" s="58">
        <f t="shared" si="9"/>
        <v>345714953.65941536</v>
      </c>
      <c r="E57" s="58">
        <f t="shared" si="9"/>
        <v>430797450.04288512</v>
      </c>
      <c r="F57" s="58">
        <f t="shared" si="9"/>
        <v>503268049.11552006</v>
      </c>
      <c r="G57" s="58">
        <f t="shared" si="9"/>
        <v>564412765.36320007</v>
      </c>
      <c r="H57" s="58">
        <f t="shared" si="9"/>
        <v>615403326.72000003</v>
      </c>
      <c r="I57" s="58">
        <f>SUM(I40:I47)/((1+I52)^I38)</f>
        <v>893860702.80373824</v>
      </c>
      <c r="J57" s="58">
        <f t="shared" si="9"/>
        <v>827011293.91213202</v>
      </c>
      <c r="K57" s="58">
        <f t="shared" si="9"/>
        <v>765082947.12920272</v>
      </c>
      <c r="L57" s="58">
        <f t="shared" si="9"/>
        <v>707717890.59687471</v>
      </c>
      <c r="M57" s="58">
        <f t="shared" si="9"/>
        <v>654584102.32169545</v>
      </c>
      <c r="N57" s="58">
        <f t="shared" si="9"/>
        <v>605373472.24347425</v>
      </c>
      <c r="O57" s="58">
        <f t="shared" si="9"/>
        <v>559800094.5753684</v>
      </c>
      <c r="P57" s="58">
        <f t="shared" si="9"/>
        <v>517598681.23662698</v>
      </c>
      <c r="Q57" s="58">
        <f t="shared" si="9"/>
        <v>478523087.84261799</v>
      </c>
      <c r="R57" s="58">
        <f t="shared" si="9"/>
        <v>442344944.31528991</v>
      </c>
      <c r="S57" s="58">
        <f t="shared" si="9"/>
        <v>408852382.73395276</v>
      </c>
      <c r="T57" s="58">
        <f t="shared" si="9"/>
        <v>377848855.56412703</v>
      </c>
      <c r="U57" s="58">
        <f t="shared" si="9"/>
        <v>349152037.88390166</v>
      </c>
      <c r="V57" s="58">
        <f t="shared" si="9"/>
        <v>322592807.67527521</v>
      </c>
      <c r="W57" s="58">
        <f t="shared" si="9"/>
        <v>298014298.66467565</v>
      </c>
      <c r="X57" s="58">
        <f t="shared" si="9"/>
        <v>275271020.58444482</v>
      </c>
      <c r="Y57" s="58">
        <f t="shared" si="9"/>
        <v>254228042.0875501</v>
      </c>
      <c r="Z57" s="58">
        <f t="shared" si="9"/>
        <v>234760231.88305742</v>
      </c>
      <c r="AA57" s="58">
        <f t="shared" si="9"/>
        <v>216751553.97169429</v>
      </c>
      <c r="AB57" s="58">
        <f t="shared" si="9"/>
        <v>200094413.15081522</v>
      </c>
      <c r="AC57" s="58">
        <f t="shared" si="9"/>
        <v>184689047.22774941</v>
      </c>
      <c r="AD57" s="58">
        <f t="shared" si="9"/>
        <v>170442962.63129401</v>
      </c>
      <c r="AE57" s="58">
        <f t="shared" si="9"/>
        <v>157270410.34432679</v>
      </c>
      <c r="AF57" s="58">
        <f t="shared" si="9"/>
        <v>145091899.29737565</v>
      </c>
      <c r="AG57" s="58">
        <f t="shared" si="9"/>
        <v>133833744.56464058</v>
      </c>
      <c r="AH57" s="58">
        <f t="shared" si="9"/>
        <v>123427647.89147986</v>
      </c>
      <c r="AI57" s="58">
        <f t="shared" si="9"/>
        <v>113810308.25672658</v>
      </c>
      <c r="AJ57" s="58">
        <f t="shared" si="9"/>
        <v>104923060.33532627</v>
      </c>
      <c r="AK57" s="58">
        <f t="shared" si="9"/>
        <v>96711538.877519131</v>
      </c>
      <c r="AL57" s="58">
        <f t="shared" si="9"/>
        <v>89125367.160943866</v>
      </c>
      <c r="AM57" s="58">
        <f t="shared" si="9"/>
        <v>82117867.802341476</v>
      </c>
      <c r="AN57" s="58">
        <f t="shared" si="9"/>
        <v>75645794.336681724</v>
      </c>
      <c r="AO57" s="58">
        <f t="shared" si="9"/>
        <v>69669082.08416228</v>
      </c>
      <c r="AP57" s="58">
        <f t="shared" si="9"/>
        <v>64150616.930234581</v>
      </c>
      <c r="AQ57" s="58">
        <f t="shared" si="9"/>
        <v>59056020.741147444</v>
      </c>
      <c r="AR57" s="58">
        <f t="shared" si="9"/>
        <v>54353452.227985822</v>
      </c>
      <c r="AS57" s="58">
        <f t="shared" si="9"/>
        <v>50013422.156295046</v>
      </c>
      <c r="AT57" s="58">
        <f t="shared" si="9"/>
        <v>46008621.876570515</v>
      </c>
      <c r="AU57" s="58">
        <f t="shared" si="9"/>
        <v>42313764.223570496</v>
      </c>
      <c r="AV57" s="58">
        <f t="shared" si="9"/>
        <v>38905435.899965368</v>
      </c>
      <c r="AW57" s="58">
        <f t="shared" si="9"/>
        <v>35761960.522626765</v>
      </c>
      <c r="AX57" s="58">
        <f t="shared" si="9"/>
        <v>32863271.568220727</v>
      </c>
      <c r="AY57" s="58">
        <f t="shared" si="9"/>
        <v>30190794.509010028</v>
      </c>
      <c r="AZ57" s="58">
        <f t="shared" si="9"/>
        <v>27727337.480182327</v>
      </c>
      <c r="BA57" s="58">
        <f t="shared" si="9"/>
        <v>25456989.866870597</v>
      </c>
      <c r="BB57" s="58">
        <f t="shared" si="9"/>
        <v>23365028.242572062</v>
      </c>
      <c r="BC57" s="58">
        <f t="shared" si="9"/>
        <v>21437829.131132513</v>
      </c>
      <c r="BD57" s="58">
        <f t="shared" si="9"/>
        <v>19662788.102062639</v>
      </c>
      <c r="BE57" s="58">
        <f t="shared" si="9"/>
        <v>18028244.743891638</v>
      </c>
      <c r="BF57" s="58">
        <f t="shared" si="9"/>
        <v>16523413.092729028</v>
      </c>
      <c r="BG57" s="58">
        <f t="shared" si="9"/>
        <v>15138317.123371894</v>
      </c>
      <c r="BH57" s="58">
        <f t="shared" si="9"/>
        <v>13863730.938323719</v>
      </c>
      <c r="BI57" s="58">
        <f t="shared" si="9"/>
        <v>12691123.316133168</v>
      </c>
      <c r="BJ57" s="58">
        <f t="shared" si="9"/>
        <v>11612606.304656532</v>
      </c>
      <c r="BK57" s="58">
        <f t="shared" si="9"/>
        <v>10620887.567326235</v>
      </c>
      <c r="BL57" s="58">
        <f t="shared" si="9"/>
        <v>9709226.2113910504</v>
      </c>
      <c r="BM57" s="58">
        <f t="shared" si="9"/>
        <v>8871391.8464936782</v>
      </c>
      <c r="BN57" s="58">
        <f t="shared" si="9"/>
        <v>8101626.6399732921</v>
      </c>
      <c r="BO57" s="58">
        <f>SUM(BO40:BO47)/((1+BO52)^BO38)</f>
        <v>7394610.1520212796</v>
      </c>
      <c r="BP57" s="58">
        <f>SUM(BP40:BP47)/((1+BP52)^BP38)</f>
        <v>6745426.7493687216</v>
      </c>
    </row>
    <row r="58" spans="1:68">
      <c r="A58" s="58" t="s">
        <v>163</v>
      </c>
      <c r="B58" s="58">
        <f t="shared" ref="B58:H58" si="10">B50/((1+B52)^B38)</f>
        <v>0</v>
      </c>
      <c r="C58" s="58">
        <f t="shared" si="10"/>
        <v>0</v>
      </c>
      <c r="D58" s="58">
        <f t="shared" si="10"/>
        <v>0</v>
      </c>
      <c r="E58" s="58">
        <f t="shared" si="10"/>
        <v>0</v>
      </c>
      <c r="F58" s="58">
        <f t="shared" si="10"/>
        <v>0</v>
      </c>
      <c r="G58" s="58">
        <f t="shared" si="10"/>
        <v>0</v>
      </c>
      <c r="H58" s="58">
        <f t="shared" si="10"/>
        <v>0</v>
      </c>
      <c r="I58" s="58">
        <f>I50/((1+I52)^I38)</f>
        <v>4822429.9065420562</v>
      </c>
      <c r="J58" s="58">
        <f t="shared" ref="J58:BP58" si="11">J50/((1+J52)^J38)</f>
        <v>4506943.8378897719</v>
      </c>
      <c r="K58" s="58">
        <f t="shared" si="11"/>
        <v>4212097.0447567962</v>
      </c>
      <c r="L58" s="58">
        <f t="shared" si="11"/>
        <v>3936539.2941652304</v>
      </c>
      <c r="M58" s="58">
        <f t="shared" si="11"/>
        <v>3679008.6861357288</v>
      </c>
      <c r="N58" s="58">
        <f t="shared" si="11"/>
        <v>3438325.8748932048</v>
      </c>
      <c r="O58" s="58">
        <f t="shared" si="11"/>
        <v>3213388.66812449</v>
      </c>
      <c r="P58" s="58">
        <f t="shared" si="11"/>
        <v>3003166.9795555985</v>
      </c>
      <c r="Q58" s="58">
        <f t="shared" si="11"/>
        <v>2806698.1117342035</v>
      </c>
      <c r="R58" s="58">
        <f t="shared" si="11"/>
        <v>2623082.3474151436</v>
      </c>
      <c r="S58" s="58">
        <f t="shared" si="11"/>
        <v>2451478.8293599472</v>
      </c>
      <c r="T58" s="58">
        <f t="shared" si="11"/>
        <v>2291101.7096821941</v>
      </c>
      <c r="U58" s="58">
        <f t="shared" si="11"/>
        <v>2141216.5511048543</v>
      </c>
      <c r="V58" s="58">
        <f t="shared" si="11"/>
        <v>2001136.9636493966</v>
      </c>
      <c r="W58" s="58">
        <f t="shared" si="11"/>
        <v>1870221.4613545758</v>
      </c>
      <c r="X58" s="58">
        <f t="shared" si="11"/>
        <v>1747870.5246304451</v>
      </c>
      <c r="Y58" s="58">
        <f t="shared" si="11"/>
        <v>1633523.8547948084</v>
      </c>
      <c r="Z58" s="58">
        <f t="shared" si="11"/>
        <v>1526657.808219447</v>
      </c>
      <c r="AA58" s="58">
        <f t="shared" si="11"/>
        <v>1426782.9983359317</v>
      </c>
      <c r="AB58" s="58">
        <f t="shared" si="11"/>
        <v>1333442.0545195625</v>
      </c>
      <c r="AC58" s="58">
        <f t="shared" si="11"/>
        <v>1246207.5275883761</v>
      </c>
      <c r="AD58" s="58">
        <f t="shared" si="11"/>
        <v>1164679.932325585</v>
      </c>
      <c r="AE58" s="58">
        <f t="shared" si="11"/>
        <v>1088485.9180612946</v>
      </c>
      <c r="AF58" s="58">
        <f t="shared" si="11"/>
        <v>1017276.5589357892</v>
      </c>
      <c r="AG58" s="58">
        <f t="shared" si="11"/>
        <v>950725.75601475616</v>
      </c>
      <c r="AH58" s="58">
        <f t="shared" si="11"/>
        <v>888528.74393902463</v>
      </c>
      <c r="AI58" s="58">
        <f t="shared" si="11"/>
        <v>830400.69527011621</v>
      </c>
      <c r="AJ58" s="58">
        <f t="shared" si="11"/>
        <v>776075.41614029568</v>
      </c>
      <c r="AK58" s="58">
        <f t="shared" si="11"/>
        <v>725304.1272339212</v>
      </c>
      <c r="AL58" s="58">
        <f t="shared" si="11"/>
        <v>677854.32451768336</v>
      </c>
      <c r="AM58" s="58">
        <f t="shared" si="11"/>
        <v>633508.7145025077</v>
      </c>
      <c r="AN58" s="58">
        <f t="shared" si="11"/>
        <v>592064.21916122222</v>
      </c>
      <c r="AO58" s="58">
        <f t="shared" si="11"/>
        <v>553331.04594506754</v>
      </c>
      <c r="AP58" s="58">
        <f t="shared" si="11"/>
        <v>517131.81864025001</v>
      </c>
      <c r="AQ58" s="58">
        <f t="shared" si="11"/>
        <v>483300.76508434577</v>
      </c>
      <c r="AR58" s="58">
        <f t="shared" si="11"/>
        <v>451682.95802275307</v>
      </c>
      <c r="AS58" s="58">
        <f t="shared" si="11"/>
        <v>422133.60562874115</v>
      </c>
      <c r="AT58" s="58">
        <f t="shared" si="11"/>
        <v>394517.38843807584</v>
      </c>
      <c r="AU58" s="58">
        <f t="shared" si="11"/>
        <v>368707.83966175315</v>
      </c>
      <c r="AV58" s="58">
        <f t="shared" si="11"/>
        <v>344586.7660390216</v>
      </c>
      <c r="AW58" s="58">
        <f t="shared" si="11"/>
        <v>322043.7065785249</v>
      </c>
      <c r="AX58" s="58">
        <f t="shared" si="11"/>
        <v>300975.42670890177</v>
      </c>
      <c r="AY58" s="58">
        <f t="shared" si="11"/>
        <v>281285.44552233809</v>
      </c>
      <c r="AZ58" s="58">
        <f t="shared" si="11"/>
        <v>262883.5939461104</v>
      </c>
      <c r="BA58" s="58">
        <f t="shared" si="11"/>
        <v>245685.60181879473</v>
      </c>
      <c r="BB58" s="58">
        <f t="shared" si="11"/>
        <v>229612.71198018198</v>
      </c>
      <c r="BC58" s="58">
        <f t="shared" si="11"/>
        <v>214591.3196076467</v>
      </c>
      <c r="BD58" s="58">
        <f t="shared" si="11"/>
        <v>200552.63514733338</v>
      </c>
      <c r="BE58" s="58">
        <f t="shared" si="11"/>
        <v>187432.36929657328</v>
      </c>
      <c r="BF58" s="58">
        <f t="shared" si="11"/>
        <v>175170.43859492827</v>
      </c>
      <c r="BG58" s="58">
        <f t="shared" si="11"/>
        <v>163710.69027563388</v>
      </c>
      <c r="BH58" s="58">
        <f t="shared" si="11"/>
        <v>153000.64511741485</v>
      </c>
      <c r="BI58" s="58">
        <f t="shared" si="11"/>
        <v>142991.2571190793</v>
      </c>
      <c r="BJ58" s="58">
        <f t="shared" si="11"/>
        <v>133636.68889633581</v>
      </c>
      <c r="BK58" s="58">
        <f t="shared" si="11"/>
        <v>124894.10177227645</v>
      </c>
      <c r="BL58" s="58">
        <f t="shared" si="11"/>
        <v>116723.45960025836</v>
      </c>
      <c r="BM58" s="58">
        <f t="shared" si="11"/>
        <v>109087.3454208022</v>
      </c>
      <c r="BN58" s="58">
        <f t="shared" si="11"/>
        <v>101950.79011289927</v>
      </c>
      <c r="BO58" s="58">
        <f t="shared" si="11"/>
        <v>95281.112255046028</v>
      </c>
      <c r="BP58" s="58">
        <f t="shared" si="11"/>
        <v>89047.768462659849</v>
      </c>
    </row>
    <row r="61" spans="1:68">
      <c r="B61" s="72" t="s">
        <v>213</v>
      </c>
    </row>
    <row r="62" spans="1:68">
      <c r="B62" s="58" t="s">
        <v>168</v>
      </c>
      <c r="C62" s="58" t="s">
        <v>169</v>
      </c>
    </row>
    <row r="63" spans="1:68">
      <c r="A63" s="58" t="s">
        <v>269</v>
      </c>
      <c r="B63" s="58">
        <v>-0.5</v>
      </c>
      <c r="C63" s="58">
        <v>1</v>
      </c>
      <c r="D63" s="58">
        <v>2</v>
      </c>
      <c r="E63" s="58">
        <v>3</v>
      </c>
      <c r="F63" s="58">
        <v>4</v>
      </c>
      <c r="G63" s="58">
        <v>5</v>
      </c>
      <c r="H63" s="58">
        <v>6</v>
      </c>
      <c r="I63" s="58">
        <v>7</v>
      </c>
      <c r="J63" s="58">
        <v>8</v>
      </c>
      <c r="K63" s="58">
        <v>9</v>
      </c>
      <c r="L63" s="58">
        <v>10</v>
      </c>
      <c r="M63" s="58">
        <v>11</v>
      </c>
      <c r="N63" s="58">
        <v>12</v>
      </c>
      <c r="O63" s="58">
        <v>13</v>
      </c>
      <c r="P63" s="58">
        <v>14</v>
      </c>
      <c r="Q63" s="58">
        <v>15</v>
      </c>
      <c r="R63" s="58">
        <v>16</v>
      </c>
      <c r="S63" s="58">
        <v>17</v>
      </c>
      <c r="T63" s="58">
        <v>18</v>
      </c>
      <c r="U63" s="58">
        <v>19</v>
      </c>
      <c r="V63" s="58">
        <v>20</v>
      </c>
      <c r="W63" s="58">
        <v>21</v>
      </c>
      <c r="X63" s="58">
        <v>22</v>
      </c>
      <c r="Y63" s="58">
        <v>23</v>
      </c>
      <c r="Z63" s="58">
        <v>24</v>
      </c>
      <c r="AA63" s="58">
        <v>25</v>
      </c>
      <c r="AB63" s="58">
        <v>26</v>
      </c>
      <c r="AC63" s="58">
        <v>27</v>
      </c>
      <c r="AD63" s="58">
        <v>28</v>
      </c>
      <c r="AE63" s="58">
        <v>29</v>
      </c>
      <c r="AF63" s="58">
        <v>30</v>
      </c>
      <c r="AG63" s="58">
        <v>31</v>
      </c>
      <c r="AH63" s="58">
        <v>32</v>
      </c>
      <c r="AI63" s="58">
        <v>33</v>
      </c>
      <c r="AJ63" s="58">
        <v>34</v>
      </c>
      <c r="AK63" s="58">
        <v>35</v>
      </c>
      <c r="AL63" s="58">
        <v>36</v>
      </c>
      <c r="AM63" s="58">
        <v>37</v>
      </c>
      <c r="AN63" s="58">
        <v>38</v>
      </c>
      <c r="AO63" s="58">
        <v>39</v>
      </c>
      <c r="AP63" s="58">
        <v>40</v>
      </c>
    </row>
    <row r="64" spans="1:68">
      <c r="A64" s="58" t="s">
        <v>167</v>
      </c>
      <c r="B64" s="58">
        <f>('LCOE parameters'!$D$27*Assumptions!$C$9)*('LCOE parameters'!$D$23*Assumptions!$C$4)</f>
        <v>5560000</v>
      </c>
    </row>
    <row r="65" spans="1:42">
      <c r="A65" s="58" t="s">
        <v>170</v>
      </c>
      <c r="C65" s="58">
        <f>('LCOE parameters'!$D$27*Assumptions!$C$9)*('LCOE parameters'!$D$23*Assumptions!$C$4)/C78</f>
        <v>139000</v>
      </c>
      <c r="D65" s="70">
        <f>('LCOE parameters'!$D$27*Assumptions!$C$9)*('LCOE parameters'!$D$23*Assumptions!$C$4)/D78</f>
        <v>139000</v>
      </c>
      <c r="E65" s="70">
        <f>('LCOE parameters'!$D$27*Assumptions!$C$9)*('LCOE parameters'!$D$23*Assumptions!$C$4)/E78</f>
        <v>139000</v>
      </c>
      <c r="F65" s="70">
        <f>('LCOE parameters'!$D$27*Assumptions!$C$9)*('LCOE parameters'!$D$23*Assumptions!$C$4)/F78</f>
        <v>139000</v>
      </c>
      <c r="G65" s="70">
        <f>('LCOE parameters'!$D$27*Assumptions!$C$9)*('LCOE parameters'!$D$23*Assumptions!$C$4)/G78</f>
        <v>139000</v>
      </c>
      <c r="H65" s="70">
        <f>('LCOE parameters'!$D$27*Assumptions!$C$9)*('LCOE parameters'!$D$23*Assumptions!$C$4)/H78</f>
        <v>139000</v>
      </c>
      <c r="I65" s="70">
        <f>('LCOE parameters'!$D$27*Assumptions!$C$9)*('LCOE parameters'!$D$23*Assumptions!$C$4)/I78</f>
        <v>139000</v>
      </c>
      <c r="J65" s="70">
        <f>('LCOE parameters'!$D$27*Assumptions!$C$9)*('LCOE parameters'!$D$23*Assumptions!$C$4)/J78</f>
        <v>139000</v>
      </c>
      <c r="K65" s="70">
        <f>('LCOE parameters'!$D$27*Assumptions!$C$9)*('LCOE parameters'!$D$23*Assumptions!$C$4)/K78</f>
        <v>139000</v>
      </c>
      <c r="L65" s="70">
        <f>('LCOE parameters'!$D$27*Assumptions!$C$9)*('LCOE parameters'!$D$23*Assumptions!$C$4)/L78</f>
        <v>139000</v>
      </c>
      <c r="M65" s="70">
        <f>('LCOE parameters'!$D$27*Assumptions!$C$9)*('LCOE parameters'!$D$23*Assumptions!$C$4)/M78</f>
        <v>139000</v>
      </c>
      <c r="N65" s="70">
        <f>('LCOE parameters'!$D$27*Assumptions!$C$9)*('LCOE parameters'!$D$23*Assumptions!$C$4)/N78</f>
        <v>139000</v>
      </c>
      <c r="O65" s="70">
        <f>('LCOE parameters'!$D$27*Assumptions!$C$9)*('LCOE parameters'!$D$23*Assumptions!$C$4)/O78</f>
        <v>139000</v>
      </c>
      <c r="P65" s="70">
        <f>('LCOE parameters'!$D$27*Assumptions!$C$9)*('LCOE parameters'!$D$23*Assumptions!$C$4)/P78</f>
        <v>139000</v>
      </c>
      <c r="Q65" s="70">
        <f>('LCOE parameters'!$D$27*Assumptions!$C$9)*('LCOE parameters'!$D$23*Assumptions!$C$4)/Q78</f>
        <v>139000</v>
      </c>
      <c r="R65" s="70">
        <f>('LCOE parameters'!$D$27*Assumptions!$C$9)*('LCOE parameters'!$D$23*Assumptions!$C$4)/R78</f>
        <v>139000</v>
      </c>
      <c r="S65" s="70">
        <f>('LCOE parameters'!$D$27*Assumptions!$C$9)*('LCOE parameters'!$D$23*Assumptions!$C$4)/S78</f>
        <v>139000</v>
      </c>
      <c r="T65" s="70">
        <f>('LCOE parameters'!$D$27*Assumptions!$C$9)*('LCOE parameters'!$D$23*Assumptions!$C$4)/T78</f>
        <v>139000</v>
      </c>
      <c r="U65" s="70">
        <f>('LCOE parameters'!$D$27*Assumptions!$C$9)*('LCOE parameters'!$D$23*Assumptions!$C$4)/U78</f>
        <v>139000</v>
      </c>
      <c r="V65" s="70">
        <f>('LCOE parameters'!$D$27*Assumptions!$C$9)*('LCOE parameters'!$D$23*Assumptions!$C$4)/V78</f>
        <v>139000</v>
      </c>
      <c r="W65" s="70">
        <f>('LCOE parameters'!$D$27*Assumptions!$C$9)*('LCOE parameters'!$D$23*Assumptions!$C$4)/W78</f>
        <v>139000</v>
      </c>
      <c r="X65" s="70">
        <f>('LCOE parameters'!$D$27*Assumptions!$C$9)*('LCOE parameters'!$D$23*Assumptions!$C$4)/X78</f>
        <v>139000</v>
      </c>
      <c r="Y65" s="70">
        <f>('LCOE parameters'!$D$27*Assumptions!$C$9)*('LCOE parameters'!$D$23*Assumptions!$C$4)/Y78</f>
        <v>139000</v>
      </c>
      <c r="Z65" s="70">
        <f>('LCOE parameters'!$D$27*Assumptions!$C$9)*('LCOE parameters'!$D$23*Assumptions!$C$4)/Z78</f>
        <v>139000</v>
      </c>
      <c r="AA65" s="70">
        <f>('LCOE parameters'!$D$27*Assumptions!$C$9)*('LCOE parameters'!$D$23*Assumptions!$C$4)/AA78</f>
        <v>139000</v>
      </c>
      <c r="AB65" s="70">
        <f>('LCOE parameters'!$D$27*Assumptions!$C$9)*('LCOE parameters'!$D$23*Assumptions!$C$4)/AB78</f>
        <v>139000</v>
      </c>
      <c r="AC65" s="70">
        <f>('LCOE parameters'!$D$27*Assumptions!$C$9)*('LCOE parameters'!$D$23*Assumptions!$C$4)/AC78</f>
        <v>139000</v>
      </c>
      <c r="AD65" s="70">
        <f>('LCOE parameters'!$D$27*Assumptions!$C$9)*('LCOE parameters'!$D$23*Assumptions!$C$4)/AD78</f>
        <v>139000</v>
      </c>
      <c r="AE65" s="70">
        <f>('LCOE parameters'!$D$27*Assumptions!$C$9)*('LCOE parameters'!$D$23*Assumptions!$C$4)/AE78</f>
        <v>139000</v>
      </c>
      <c r="AF65" s="70">
        <f>('LCOE parameters'!$D$27*Assumptions!$C$9)*('LCOE parameters'!$D$23*Assumptions!$C$4)/AF78</f>
        <v>139000</v>
      </c>
      <c r="AG65" s="70">
        <f>('LCOE parameters'!$D$27*Assumptions!$C$9)*('LCOE parameters'!$D$23*Assumptions!$C$4)/AG78</f>
        <v>139000</v>
      </c>
      <c r="AH65" s="70">
        <f>('LCOE parameters'!$D$27*Assumptions!$C$9)*('LCOE parameters'!$D$23*Assumptions!$C$4)/AH78</f>
        <v>139000</v>
      </c>
      <c r="AI65" s="70">
        <f>('LCOE parameters'!$D$27*Assumptions!$C$9)*('LCOE parameters'!$D$23*Assumptions!$C$4)/AI78</f>
        <v>139000</v>
      </c>
      <c r="AJ65" s="70">
        <f>('LCOE parameters'!$D$27*Assumptions!$C$9)*('LCOE parameters'!$D$23*Assumptions!$C$4)/AJ78</f>
        <v>139000</v>
      </c>
      <c r="AK65" s="70">
        <f>('LCOE parameters'!$D$27*Assumptions!$C$9)*('LCOE parameters'!$D$23*Assumptions!$C$4)/AK78</f>
        <v>139000</v>
      </c>
      <c r="AL65" s="70">
        <f>('LCOE parameters'!$D$27*Assumptions!$C$9)*('LCOE parameters'!$D$23*Assumptions!$C$4)/AL78</f>
        <v>139000</v>
      </c>
      <c r="AM65" s="70">
        <f>('LCOE parameters'!$D$27*Assumptions!$C$9)*('LCOE parameters'!$D$23*Assumptions!$C$4)/AM78</f>
        <v>139000</v>
      </c>
      <c r="AN65" s="70">
        <f>('LCOE parameters'!$D$27*Assumptions!$C$9)*('LCOE parameters'!$D$23*Assumptions!$C$4)/AN78</f>
        <v>139000</v>
      </c>
      <c r="AO65" s="70">
        <f>('LCOE parameters'!$D$27*Assumptions!$C$9)*('LCOE parameters'!$D$23*Assumptions!$C$4)/AO78</f>
        <v>139000</v>
      </c>
      <c r="AP65" s="70">
        <f>('LCOE parameters'!$D$27*Assumptions!$C$9)*('LCOE parameters'!$D$23*Assumptions!$C$4)/AP78</f>
        <v>139000</v>
      </c>
    </row>
    <row r="66" spans="1:42">
      <c r="A66" s="58" t="s">
        <v>175</v>
      </c>
      <c r="B66" s="79">
        <f>B64*B76*'LCOE parameters'!E$41</f>
        <v>119539.99999999999</v>
      </c>
      <c r="C66" s="58">
        <f>$B$64*C76</f>
        <v>239079.99999999997</v>
      </c>
      <c r="D66" s="58">
        <f>SUM($B$64,-C65)*D76</f>
        <v>233102.99999999997</v>
      </c>
      <c r="E66" s="58">
        <f>SUM($B$64,-SUM(C65:D65))*E76</f>
        <v>227125.99999999997</v>
      </c>
      <c r="F66" s="58">
        <f>SUM($B$64,-SUM(C65:E65))*F76</f>
        <v>221148.99999999997</v>
      </c>
      <c r="G66" s="58">
        <f>SUM($B$64,-SUM(C65:F65))*G76</f>
        <v>215171.99999999997</v>
      </c>
      <c r="H66" s="58">
        <f>SUM($B$64,-SUM(C65:G65))*H76</f>
        <v>209194.99999999997</v>
      </c>
      <c r="I66" s="58">
        <f>SUM($B$64,-SUM(C65:H65))*I76</f>
        <v>203217.99999999997</v>
      </c>
      <c r="J66" s="58">
        <f>SUM($B$64,-SUM(C65:I65))*J76</f>
        <v>197240.99999999997</v>
      </c>
      <c r="K66" s="58">
        <f>SUM($B$64,-SUM(C65:J65))*K76</f>
        <v>191263.99999999997</v>
      </c>
      <c r="L66" s="58">
        <f>SUM($B$64,-SUM(C65:K65))*L76</f>
        <v>185286.99999999997</v>
      </c>
      <c r="M66" s="58">
        <f>SUM($B$64,-SUM(C65:L65))*M76</f>
        <v>179310</v>
      </c>
      <c r="N66" s="58">
        <f>SUM($B$64,-SUM(C65:M65))*N76</f>
        <v>173333</v>
      </c>
      <c r="O66" s="58">
        <f>SUM($B$64-SUM(C65:N65))*O76</f>
        <v>167356</v>
      </c>
      <c r="P66" s="58">
        <f>SUM($B$64,-SUM(C65:O65))*P76</f>
        <v>161379</v>
      </c>
      <c r="Q66" s="58">
        <f>SUM($B$64,-SUM(C65:P65))*Q76</f>
        <v>155402</v>
      </c>
      <c r="R66" s="58">
        <f>SUM($B$64,-SUM(C65:Q65))*R76</f>
        <v>149425</v>
      </c>
      <c r="S66" s="58">
        <f>SUM($B$64,-SUM(C65:R65))*S76</f>
        <v>143448</v>
      </c>
      <c r="T66" s="58">
        <f>SUM($B$64,-SUM(C65:S65))*T76</f>
        <v>137471</v>
      </c>
      <c r="U66" s="58">
        <f>SUM($B$64,-SUM(C65:T65))*U76</f>
        <v>131494</v>
      </c>
      <c r="V66" s="58">
        <f>SUM($B$64,-SUM(C65:U65))*V76</f>
        <v>125516.99999999999</v>
      </c>
      <c r="W66" s="58">
        <f>SUM($B$64,-SUM(C65:V65))*W76</f>
        <v>119539.99999999999</v>
      </c>
      <c r="X66" s="58">
        <f>SUM($B$64,-SUM(C65:W65))*X76</f>
        <v>113562.99999999999</v>
      </c>
      <c r="Y66" s="58">
        <f>SUM($B$64,-SUM(C65:X65))*Y76</f>
        <v>107585.99999999999</v>
      </c>
      <c r="Z66" s="58">
        <f>SUM($B$64,-SUM(C65:Y65))*Z76</f>
        <v>101608.99999999999</v>
      </c>
      <c r="AA66" s="58">
        <f>SUM($B$64,-SUM(C65:Z65))*AA76</f>
        <v>95631.999999999985</v>
      </c>
      <c r="AB66" s="58">
        <f>SUM($B$64,-SUM(C65:AA65))*AB76</f>
        <v>89655</v>
      </c>
      <c r="AC66" s="58">
        <f>SUM($B$64,-SUM(C65:AB65))*AC76</f>
        <v>83678</v>
      </c>
      <c r="AD66" s="58">
        <f>SUM($B$64,-SUM(C65:AC65))*AD76</f>
        <v>77701</v>
      </c>
      <c r="AE66" s="58">
        <f>SUM($B$64,-SUM(C65:AD65))*AE76</f>
        <v>71724</v>
      </c>
      <c r="AF66" s="58">
        <f>SUM($B$64,-SUM(C65:AE65))*AF76</f>
        <v>65747</v>
      </c>
      <c r="AG66" s="58">
        <f>SUM($B$64,-SUM(C65:AF65))*AG76</f>
        <v>59769.999999999993</v>
      </c>
      <c r="AH66" s="58">
        <f>SUM($B$64,-SUM(C65:AG65))*AH76</f>
        <v>53792.999999999993</v>
      </c>
      <c r="AI66" s="58">
        <f>SUM($B$64,-SUM(C65:AH65))*AI76</f>
        <v>47815.999999999993</v>
      </c>
      <c r="AJ66" s="58">
        <f>SUM($B$64,-SUM(C65:AI65))*AJ76</f>
        <v>41839</v>
      </c>
      <c r="AK66" s="58">
        <f>SUM($B$64,-SUM(C65:AJ65))*AK76</f>
        <v>35862</v>
      </c>
      <c r="AL66" s="58">
        <f>SUM($B$64,-SUM(C65:AK65))*AL76</f>
        <v>29884.999999999996</v>
      </c>
      <c r="AM66" s="58">
        <f>SUM($B$64,-SUM(C65:AL65))*AM76</f>
        <v>23907.999999999996</v>
      </c>
      <c r="AN66" s="58">
        <f>SUM($B$64,-SUM(C65:AM65))*AN76</f>
        <v>17931</v>
      </c>
      <c r="AO66" s="58">
        <f>SUM($B$64,-SUM(C65:AN65))*AO76</f>
        <v>11953.999999999998</v>
      </c>
      <c r="AP66" s="58">
        <f>SUM($B$64,-SUM(C65:AO65))*AP76</f>
        <v>5976.9999999999991</v>
      </c>
    </row>
    <row r="67" spans="1:42">
      <c r="A67" s="58" t="s">
        <v>191</v>
      </c>
      <c r="C67" s="58">
        <f>('LCOE parameters'!$D$30*Assumptions!$C$12)*('LCOE parameters'!$D$23*Assumptions!$C$4)</f>
        <v>83400</v>
      </c>
      <c r="D67" s="58">
        <f>('LCOE parameters'!$D$30*Assumptions!$C$12)*('LCOE parameters'!$D$23*Assumptions!$C$4)</f>
        <v>83400</v>
      </c>
      <c r="E67" s="58">
        <f>('LCOE parameters'!$D$30*Assumptions!$C$12)*('LCOE parameters'!$D$23*Assumptions!$C$4)</f>
        <v>83400</v>
      </c>
      <c r="F67" s="58">
        <f>('LCOE parameters'!$D$30*Assumptions!$C$12)*('LCOE parameters'!$D$23*Assumptions!$C$4)</f>
        <v>83400</v>
      </c>
      <c r="G67" s="58">
        <f>('LCOE parameters'!$D$30*Assumptions!$C$12)*('LCOE parameters'!$D$23*Assumptions!$C$4)</f>
        <v>83400</v>
      </c>
      <c r="H67" s="58">
        <f>('LCOE parameters'!$D$30*Assumptions!$C$12)*('LCOE parameters'!$D$23*Assumptions!$C$4)</f>
        <v>83400</v>
      </c>
      <c r="I67" s="58">
        <f>('LCOE parameters'!$D$30*Assumptions!$C$12)*('LCOE parameters'!$D$23*Assumptions!$C$4)</f>
        <v>83400</v>
      </c>
      <c r="J67" s="58">
        <f>('LCOE parameters'!$D$30*Assumptions!$C$12)*('LCOE parameters'!$D$23*Assumptions!$C$4)</f>
        <v>83400</v>
      </c>
      <c r="K67" s="58">
        <f>('LCOE parameters'!$D$30*Assumptions!$C$12)*('LCOE parameters'!$D$23*Assumptions!$C$4)</f>
        <v>83400</v>
      </c>
      <c r="L67" s="58">
        <f>('LCOE parameters'!$D$30*Assumptions!$C$12)*('LCOE parameters'!$D$23*Assumptions!$C$4)</f>
        <v>83400</v>
      </c>
      <c r="M67" s="58">
        <f>('LCOE parameters'!$D$30*Assumptions!$C$12)*('LCOE parameters'!$D$23*Assumptions!$C$4)</f>
        <v>83400</v>
      </c>
      <c r="N67" s="58">
        <f>('LCOE parameters'!$D$30*Assumptions!$C$12)*('LCOE parameters'!$D$23*Assumptions!$C$4)</f>
        <v>83400</v>
      </c>
      <c r="O67" s="58">
        <f>('LCOE parameters'!$D$30*Assumptions!$C$12)*('LCOE parameters'!$D$23*Assumptions!$C$4)</f>
        <v>83400</v>
      </c>
      <c r="P67" s="58">
        <f>('LCOE parameters'!$D$30*Assumptions!$C$12)*('LCOE parameters'!$D$23*Assumptions!$C$4)</f>
        <v>83400</v>
      </c>
      <c r="Q67" s="58">
        <f>('LCOE parameters'!$D$30*Assumptions!$C$12)*('LCOE parameters'!$D$23*Assumptions!$C$4)</f>
        <v>83400</v>
      </c>
      <c r="R67" s="58">
        <f>('LCOE parameters'!$D$30*Assumptions!$C$12)*('LCOE parameters'!$D$23*Assumptions!$C$4)</f>
        <v>83400</v>
      </c>
      <c r="S67" s="58">
        <f>('LCOE parameters'!$D$30*Assumptions!$C$12)*('LCOE parameters'!$D$23*Assumptions!$C$4)</f>
        <v>83400</v>
      </c>
      <c r="T67" s="58">
        <f>('LCOE parameters'!$D$30*Assumptions!$C$12)*('LCOE parameters'!$D$23*Assumptions!$C$4)</f>
        <v>83400</v>
      </c>
      <c r="U67" s="58">
        <f>('LCOE parameters'!$D$30*Assumptions!$C$12)*('LCOE parameters'!$D$23*Assumptions!$C$4)</f>
        <v>83400</v>
      </c>
      <c r="V67" s="58">
        <f>('LCOE parameters'!$D$30*Assumptions!$C$12)*('LCOE parameters'!$D$23*Assumptions!$C$4)</f>
        <v>83400</v>
      </c>
      <c r="W67" s="58">
        <f>('LCOE parameters'!$D$30*Assumptions!$C$12)*('LCOE parameters'!$D$23*Assumptions!$C$4)</f>
        <v>83400</v>
      </c>
      <c r="X67" s="58">
        <f>('LCOE parameters'!$D$30*Assumptions!$C$12)*('LCOE parameters'!$D$23*Assumptions!$C$4)</f>
        <v>83400</v>
      </c>
      <c r="Y67" s="58">
        <f>('LCOE parameters'!$D$30*Assumptions!$C$12)*('LCOE parameters'!$D$23*Assumptions!$C$4)</f>
        <v>83400</v>
      </c>
      <c r="Z67" s="58">
        <f>('LCOE parameters'!$D$30*Assumptions!$C$12)*('LCOE parameters'!$D$23*Assumptions!$C$4)</f>
        <v>83400</v>
      </c>
      <c r="AA67" s="58">
        <f>('LCOE parameters'!$D$30*Assumptions!$C$12)*('LCOE parameters'!$D$23*Assumptions!$C$4)</f>
        <v>83400</v>
      </c>
      <c r="AB67" s="58">
        <f>('LCOE parameters'!$D$30*Assumptions!$C$12)*('LCOE parameters'!$D$23*Assumptions!$C$4)</f>
        <v>83400</v>
      </c>
      <c r="AC67" s="58">
        <f>('LCOE parameters'!$D$30*Assumptions!$C$12)*('LCOE parameters'!$D$23*Assumptions!$C$4)</f>
        <v>83400</v>
      </c>
      <c r="AD67" s="58">
        <f>('LCOE parameters'!$D$30*Assumptions!$C$12)*('LCOE parameters'!$D$23*Assumptions!$C$4)</f>
        <v>83400</v>
      </c>
      <c r="AE67" s="58">
        <f>('LCOE parameters'!$D$30*Assumptions!$C$12)*('LCOE parameters'!$D$23*Assumptions!$C$4)</f>
        <v>83400</v>
      </c>
      <c r="AF67" s="58">
        <f>('LCOE parameters'!$D$30*Assumptions!$C$12)*('LCOE parameters'!$D$23*Assumptions!$C$4)</f>
        <v>83400</v>
      </c>
      <c r="AG67" s="58">
        <f>('LCOE parameters'!$D$30*Assumptions!$C$12)*('LCOE parameters'!$D$23*Assumptions!$C$4)</f>
        <v>83400</v>
      </c>
      <c r="AH67" s="58">
        <f>('LCOE parameters'!$D$30*Assumptions!$C$12)*('LCOE parameters'!$D$23*Assumptions!$C$4)</f>
        <v>83400</v>
      </c>
      <c r="AI67" s="58">
        <f>('LCOE parameters'!$D$30*Assumptions!$C$12)*('LCOE parameters'!$D$23*Assumptions!$C$4)</f>
        <v>83400</v>
      </c>
      <c r="AJ67" s="58">
        <f>('LCOE parameters'!$D$30*Assumptions!$C$12)*('LCOE parameters'!$D$23*Assumptions!$C$4)</f>
        <v>83400</v>
      </c>
      <c r="AK67" s="58">
        <f>('LCOE parameters'!$D$30*Assumptions!$C$12)*('LCOE parameters'!$D$23*Assumptions!$C$4)</f>
        <v>83400</v>
      </c>
      <c r="AL67" s="58">
        <f>('LCOE parameters'!$D$30*Assumptions!$C$12)*('LCOE parameters'!$D$23*Assumptions!$C$4)</f>
        <v>83400</v>
      </c>
      <c r="AM67" s="58">
        <f>('LCOE parameters'!$D$30*Assumptions!$C$12)*('LCOE parameters'!$D$23*Assumptions!$C$4)</f>
        <v>83400</v>
      </c>
      <c r="AN67" s="58">
        <f>('LCOE parameters'!$D$30*Assumptions!$C$12)*('LCOE parameters'!$D$23*Assumptions!$C$4)</f>
        <v>83400</v>
      </c>
      <c r="AO67" s="58">
        <f>('LCOE parameters'!$D$30*Assumptions!$C$12)*('LCOE parameters'!$D$23*Assumptions!$C$4)</f>
        <v>83400</v>
      </c>
      <c r="AP67" s="58">
        <f>('LCOE parameters'!$D$30*Assumptions!$C$12)*('LCOE parameters'!$D$23*Assumptions!$C$4)</f>
        <v>83400</v>
      </c>
    </row>
    <row r="68" spans="1:42">
      <c r="A68" s="58" t="s">
        <v>192</v>
      </c>
      <c r="C68" s="58">
        <f>('LCOE parameters'!$D$31*Assumptions!$C$13)*('LCOE parameters'!$D$24*Assumptions!$C$6)</f>
        <v>0</v>
      </c>
      <c r="D68" s="58">
        <f>('LCOE parameters'!$D$31*Assumptions!$C$13)*('LCOE parameters'!$D$24*Assumptions!$C$6)</f>
        <v>0</v>
      </c>
      <c r="E68" s="58">
        <f>('LCOE parameters'!$D$31*Assumptions!$C$13)*('LCOE parameters'!$D$24*Assumptions!$C$6)</f>
        <v>0</v>
      </c>
      <c r="F68" s="58">
        <f>('LCOE parameters'!$D$31*Assumptions!$C$13)*('LCOE parameters'!$D$24*Assumptions!$C$6)</f>
        <v>0</v>
      </c>
      <c r="G68" s="58">
        <f>('LCOE parameters'!$D$31*Assumptions!$C$13)*('LCOE parameters'!$D$24*Assumptions!$C$6)</f>
        <v>0</v>
      </c>
      <c r="H68" s="58">
        <f>('LCOE parameters'!$D$31*Assumptions!$C$13)*('LCOE parameters'!$D$24*Assumptions!$C$6)</f>
        <v>0</v>
      </c>
      <c r="I68" s="58">
        <f>('LCOE parameters'!$D$31*Assumptions!$C$13)*('LCOE parameters'!$D$24*Assumptions!$C$6)</f>
        <v>0</v>
      </c>
      <c r="J68" s="58">
        <f>('LCOE parameters'!$D$31*Assumptions!$C$13)*('LCOE parameters'!$D$24*Assumptions!$C$6)</f>
        <v>0</v>
      </c>
      <c r="K68" s="58">
        <f>('LCOE parameters'!$D$31*Assumptions!$C$13)*('LCOE parameters'!$D$24*Assumptions!$C$6)</f>
        <v>0</v>
      </c>
      <c r="L68" s="58">
        <f>('LCOE parameters'!$D$31*Assumptions!$C$13)*('LCOE parameters'!$D$24*Assumptions!$C$6)</f>
        <v>0</v>
      </c>
      <c r="M68" s="58">
        <f>('LCOE parameters'!$D$31*Assumptions!$C$13)*('LCOE parameters'!$D$24*Assumptions!$C$6)</f>
        <v>0</v>
      </c>
      <c r="N68" s="58">
        <f>('LCOE parameters'!$D$31*Assumptions!$C$13)*('LCOE parameters'!$D$24*Assumptions!$C$6)</f>
        <v>0</v>
      </c>
      <c r="O68" s="58">
        <f>('LCOE parameters'!$D$31*Assumptions!$C$13)*('LCOE parameters'!$D$24*Assumptions!$C$6)</f>
        <v>0</v>
      </c>
      <c r="P68" s="58">
        <f>('LCOE parameters'!$D$31*Assumptions!$C$13)*('LCOE parameters'!$D$24*Assumptions!$C$6)</f>
        <v>0</v>
      </c>
      <c r="Q68" s="58">
        <f>('LCOE parameters'!$D$31*Assumptions!$C$13)*('LCOE parameters'!$D$24*Assumptions!$C$6)</f>
        <v>0</v>
      </c>
      <c r="R68" s="58">
        <f>('LCOE parameters'!$D$31*Assumptions!$C$13)*('LCOE parameters'!$D$24*Assumptions!$C$6)</f>
        <v>0</v>
      </c>
      <c r="S68" s="58">
        <f>('LCOE parameters'!$D$31*Assumptions!$C$13)*('LCOE parameters'!$D$24*Assumptions!$C$6)</f>
        <v>0</v>
      </c>
      <c r="T68" s="58">
        <f>('LCOE parameters'!$D$31*Assumptions!$C$13)*('LCOE parameters'!$D$24*Assumptions!$C$6)</f>
        <v>0</v>
      </c>
      <c r="U68" s="58">
        <f>('LCOE parameters'!$D$31*Assumptions!$C$13)*('LCOE parameters'!$D$24*Assumptions!$C$6)</f>
        <v>0</v>
      </c>
      <c r="V68" s="58">
        <f>('LCOE parameters'!$D$31*Assumptions!$C$13)*('LCOE parameters'!$D$24*Assumptions!$C$6)</f>
        <v>0</v>
      </c>
      <c r="W68" s="58">
        <f>('LCOE parameters'!$D$31*Assumptions!$C$13)*('LCOE parameters'!$D$24*Assumptions!$C$6)</f>
        <v>0</v>
      </c>
      <c r="X68" s="58">
        <f>('LCOE parameters'!$D$31*Assumptions!$C$13)*('LCOE parameters'!$D$24*Assumptions!$C$6)</f>
        <v>0</v>
      </c>
      <c r="Y68" s="58">
        <f>('LCOE parameters'!$D$31*Assumptions!$C$13)*('LCOE parameters'!$D$24*Assumptions!$C$6)</f>
        <v>0</v>
      </c>
      <c r="Z68" s="58">
        <f>('LCOE parameters'!$D$31*Assumptions!$C$13)*('LCOE parameters'!$D$24*Assumptions!$C$6)</f>
        <v>0</v>
      </c>
      <c r="AA68" s="58">
        <f>('LCOE parameters'!$D$31*Assumptions!$C$13)*('LCOE parameters'!$D$24*Assumptions!$C$6)</f>
        <v>0</v>
      </c>
      <c r="AB68" s="58">
        <f>('LCOE parameters'!$D$31*Assumptions!$C$13)*('LCOE parameters'!$D$24*Assumptions!$C$6)</f>
        <v>0</v>
      </c>
      <c r="AC68" s="58">
        <f>('LCOE parameters'!$D$31*Assumptions!$C$13)*('LCOE parameters'!$D$24*Assumptions!$C$6)</f>
        <v>0</v>
      </c>
      <c r="AD68" s="58">
        <f>('LCOE parameters'!$D$31*Assumptions!$C$13)*('LCOE parameters'!$D$24*Assumptions!$C$6)</f>
        <v>0</v>
      </c>
      <c r="AE68" s="58">
        <f>('LCOE parameters'!$D$31*Assumptions!$C$13)*('LCOE parameters'!$D$24*Assumptions!$C$6)</f>
        <v>0</v>
      </c>
      <c r="AF68" s="58">
        <f>('LCOE parameters'!$D$31*Assumptions!$C$13)*('LCOE parameters'!$D$24*Assumptions!$C$6)</f>
        <v>0</v>
      </c>
      <c r="AG68" s="58">
        <f>('LCOE parameters'!$D$31*Assumptions!$C$13)*('LCOE parameters'!$D$24*Assumptions!$C$6)</f>
        <v>0</v>
      </c>
      <c r="AH68" s="58">
        <f>('LCOE parameters'!$D$31*Assumptions!$C$13)*('LCOE parameters'!$D$24*Assumptions!$C$6)</f>
        <v>0</v>
      </c>
      <c r="AI68" s="58">
        <f>('LCOE parameters'!$D$31*Assumptions!$C$13)*('LCOE parameters'!$D$24*Assumptions!$C$6)</f>
        <v>0</v>
      </c>
      <c r="AJ68" s="58">
        <f>('LCOE parameters'!$D$31*Assumptions!$C$13)*('LCOE parameters'!$D$24*Assumptions!$C$6)</f>
        <v>0</v>
      </c>
      <c r="AK68" s="58">
        <f>('LCOE parameters'!$D$31*Assumptions!$C$13)*('LCOE parameters'!$D$24*Assumptions!$C$6)</f>
        <v>0</v>
      </c>
      <c r="AL68" s="58">
        <f>('LCOE parameters'!$D$31*Assumptions!$C$13)*('LCOE parameters'!$D$24*Assumptions!$C$6)</f>
        <v>0</v>
      </c>
      <c r="AM68" s="58">
        <f>('LCOE parameters'!$D$31*Assumptions!$C$13)*('LCOE parameters'!$D$24*Assumptions!$C$6)</f>
        <v>0</v>
      </c>
      <c r="AN68" s="58">
        <f>('LCOE parameters'!$D$31*Assumptions!$C$13)*('LCOE parameters'!$D$24*Assumptions!$C$6)</f>
        <v>0</v>
      </c>
      <c r="AO68" s="58">
        <f>('LCOE parameters'!$D$31*Assumptions!$C$13)*('LCOE parameters'!$D$24*Assumptions!$C$6)</f>
        <v>0</v>
      </c>
      <c r="AP68" s="58">
        <f>('LCOE parameters'!$D$31*Assumptions!$C$13)*('LCOE parameters'!$D$24*Assumptions!$C$6)</f>
        <v>0</v>
      </c>
    </row>
    <row r="69" spans="1:42">
      <c r="A69" s="58" t="s">
        <v>194</v>
      </c>
      <c r="C69" s="58">
        <f>'LCOE parameters'!$D$32</f>
        <v>0</v>
      </c>
      <c r="D69" s="58">
        <f>'LCOE parameters'!$D$32</f>
        <v>0</v>
      </c>
      <c r="E69" s="58">
        <f>'LCOE parameters'!$D$32</f>
        <v>0</v>
      </c>
      <c r="F69" s="58">
        <f>'LCOE parameters'!$D$32</f>
        <v>0</v>
      </c>
      <c r="G69" s="58">
        <f>'LCOE parameters'!$D$32</f>
        <v>0</v>
      </c>
      <c r="H69" s="58">
        <f>'LCOE parameters'!$D$32</f>
        <v>0</v>
      </c>
      <c r="I69" s="58">
        <f>'LCOE parameters'!$D$32</f>
        <v>0</v>
      </c>
      <c r="J69" s="58">
        <f>'LCOE parameters'!$D$32</f>
        <v>0</v>
      </c>
      <c r="K69" s="58">
        <f>'LCOE parameters'!$D$32</f>
        <v>0</v>
      </c>
      <c r="L69" s="58">
        <f>'LCOE parameters'!$D$32</f>
        <v>0</v>
      </c>
      <c r="M69" s="58">
        <f>'LCOE parameters'!$D$32</f>
        <v>0</v>
      </c>
      <c r="N69" s="58">
        <f>'LCOE parameters'!$D$32</f>
        <v>0</v>
      </c>
      <c r="O69" s="58">
        <f>'LCOE parameters'!$D$32</f>
        <v>0</v>
      </c>
      <c r="P69" s="58">
        <f>'LCOE parameters'!$D$32</f>
        <v>0</v>
      </c>
      <c r="Q69" s="58">
        <f>'LCOE parameters'!$D$32</f>
        <v>0</v>
      </c>
      <c r="R69" s="58">
        <f>'LCOE parameters'!$D$32</f>
        <v>0</v>
      </c>
      <c r="S69" s="58">
        <f>'LCOE parameters'!$D$32</f>
        <v>0</v>
      </c>
      <c r="T69" s="58">
        <f>'LCOE parameters'!$D$32</f>
        <v>0</v>
      </c>
      <c r="U69" s="58">
        <f>'LCOE parameters'!$D$32</f>
        <v>0</v>
      </c>
      <c r="V69" s="58">
        <f>'LCOE parameters'!$D$32</f>
        <v>0</v>
      </c>
      <c r="W69" s="58">
        <f>'LCOE parameters'!$D$32</f>
        <v>0</v>
      </c>
      <c r="X69" s="58">
        <f>'LCOE parameters'!$D$32</f>
        <v>0</v>
      </c>
      <c r="Y69" s="58">
        <f>'LCOE parameters'!$D$32</f>
        <v>0</v>
      </c>
      <c r="Z69" s="58">
        <f>'LCOE parameters'!$D$32</f>
        <v>0</v>
      </c>
      <c r="AA69" s="58">
        <f>'LCOE parameters'!$D$32</f>
        <v>0</v>
      </c>
      <c r="AB69" s="58">
        <f>'LCOE parameters'!$D$32</f>
        <v>0</v>
      </c>
      <c r="AC69" s="58">
        <f>'LCOE parameters'!$D$32</f>
        <v>0</v>
      </c>
      <c r="AD69" s="58">
        <f>'LCOE parameters'!$D$32</f>
        <v>0</v>
      </c>
      <c r="AE69" s="58">
        <f>'LCOE parameters'!$D$32</f>
        <v>0</v>
      </c>
      <c r="AF69" s="58">
        <f>'LCOE parameters'!$D$32</f>
        <v>0</v>
      </c>
      <c r="AG69" s="58">
        <f>'LCOE parameters'!$D$32</f>
        <v>0</v>
      </c>
      <c r="AH69" s="58">
        <f>'LCOE parameters'!$D$32</f>
        <v>0</v>
      </c>
      <c r="AI69" s="58">
        <f>'LCOE parameters'!$D$32</f>
        <v>0</v>
      </c>
      <c r="AJ69" s="58">
        <f>'LCOE parameters'!$D$32</f>
        <v>0</v>
      </c>
      <c r="AK69" s="58">
        <f>'LCOE parameters'!$D$32</f>
        <v>0</v>
      </c>
      <c r="AL69" s="58">
        <f>'LCOE parameters'!$D$32</f>
        <v>0</v>
      </c>
      <c r="AM69" s="58">
        <f>'LCOE parameters'!$D$32</f>
        <v>0</v>
      </c>
      <c r="AN69" s="58">
        <f>'LCOE parameters'!$D$32</f>
        <v>0</v>
      </c>
      <c r="AO69" s="58">
        <f>'LCOE parameters'!$D$32</f>
        <v>0</v>
      </c>
      <c r="AP69" s="58">
        <f>'LCOE parameters'!$D$32</f>
        <v>0</v>
      </c>
    </row>
    <row r="70" spans="1:42">
      <c r="A70" s="61" t="s">
        <v>195</v>
      </c>
      <c r="C70" s="58">
        <f>SUM(('LCOE parameters'!$D$33*'LCOE parameters'!$D$23*'LCOE parameters'!$D$24),('LCOE parameters'!$D$34*'LCOE parameters'!$D$23*'LCOE parameters'!$D$24),('LCOE parameters'!$D$35*'LCOE parameters'!$D$23*'LCOE parameters'!$D$24),('LCOE parameters'!$D$36*'LCOE parameters'!$D$23*'LCOE parameters'!$D$24))</f>
        <v>0</v>
      </c>
      <c r="D70" s="58">
        <f>SUM(('LCOE parameters'!$D$33*'LCOE parameters'!$D$23*'LCOE parameters'!$D$24),('LCOE parameters'!$D$34*'LCOE parameters'!$D$23*'LCOE parameters'!$D$24),('LCOE parameters'!$D$35*'LCOE parameters'!$D$23*'LCOE parameters'!$D$24),('LCOE parameters'!$D$36*'LCOE parameters'!$D$23*'LCOE parameters'!$D$24))</f>
        <v>0</v>
      </c>
      <c r="E70" s="58">
        <f>SUM(('LCOE parameters'!$D$33*'LCOE parameters'!$D$23*'LCOE parameters'!$D$24),('LCOE parameters'!$D$34*'LCOE parameters'!$D$23*'LCOE parameters'!$D$24),('LCOE parameters'!$D$35*'LCOE parameters'!$D$23*'LCOE parameters'!$D$24),('LCOE parameters'!$D$36*'LCOE parameters'!$D$23*'LCOE parameters'!$D$24))</f>
        <v>0</v>
      </c>
      <c r="F70" s="58">
        <f>SUM(('LCOE parameters'!$D$33*'LCOE parameters'!$D$23*'LCOE parameters'!$D$24),('LCOE parameters'!$D$34*'LCOE parameters'!$D$23*'LCOE parameters'!$D$24),('LCOE parameters'!$D$35*'LCOE parameters'!$D$23*'LCOE parameters'!$D$24),('LCOE parameters'!$D$36*'LCOE parameters'!$D$23*'LCOE parameters'!$D$24))</f>
        <v>0</v>
      </c>
      <c r="G70" s="58">
        <f>SUM(('LCOE parameters'!$D$33*'LCOE parameters'!$D$23*'LCOE parameters'!$D$24),('LCOE parameters'!$D$34*'LCOE parameters'!$D$23*'LCOE parameters'!$D$24),('LCOE parameters'!$D$35*'LCOE parameters'!$D$23*'LCOE parameters'!$D$24),('LCOE parameters'!$D$36*'LCOE parameters'!$D$23*'LCOE parameters'!$D$24))</f>
        <v>0</v>
      </c>
      <c r="H70" s="58">
        <f>SUM(('LCOE parameters'!$D$33*'LCOE parameters'!$D$23*'LCOE parameters'!$D$24),('LCOE parameters'!$D$34*'LCOE parameters'!$D$23*'LCOE parameters'!$D$24),('LCOE parameters'!$D$35*'LCOE parameters'!$D$23*'LCOE parameters'!$D$24),('LCOE parameters'!$D$36*'LCOE parameters'!$D$23*'LCOE parameters'!$D$24))</f>
        <v>0</v>
      </c>
      <c r="I70" s="58">
        <f>SUM(('LCOE parameters'!$D$33*'LCOE parameters'!$D$23*'LCOE parameters'!$D$24),('LCOE parameters'!$D$34*'LCOE parameters'!$D$23*'LCOE parameters'!$D$24),('LCOE parameters'!$D$35*'LCOE parameters'!$D$23*'LCOE parameters'!$D$24),('LCOE parameters'!$D$36*'LCOE parameters'!$D$23*'LCOE parameters'!$D$24))</f>
        <v>0</v>
      </c>
      <c r="J70" s="58">
        <f>SUM(('LCOE parameters'!$D$33*'LCOE parameters'!$D$23*'LCOE parameters'!$D$24),('LCOE parameters'!$D$34*'LCOE parameters'!$D$23*'LCOE parameters'!$D$24),('LCOE parameters'!$D$35*'LCOE parameters'!$D$23*'LCOE parameters'!$D$24),('LCOE parameters'!$D$36*'LCOE parameters'!$D$23*'LCOE parameters'!$D$24))</f>
        <v>0</v>
      </c>
      <c r="K70" s="58">
        <f>SUM(('LCOE parameters'!$D$33*'LCOE parameters'!$D$23*'LCOE parameters'!$D$24),('LCOE parameters'!$D$34*'LCOE parameters'!$D$23*'LCOE parameters'!$D$24),('LCOE parameters'!$D$35*'LCOE parameters'!$D$23*'LCOE parameters'!$D$24),('LCOE parameters'!$D$36*'LCOE parameters'!$D$23*'LCOE parameters'!$D$24))</f>
        <v>0</v>
      </c>
      <c r="L70" s="58">
        <f>SUM(('LCOE parameters'!$D$33*'LCOE parameters'!$D$23*'LCOE parameters'!$D$24),('LCOE parameters'!$D$34*'LCOE parameters'!$D$23*'LCOE parameters'!$D$24),('LCOE parameters'!$D$35*'LCOE parameters'!$D$23*'LCOE parameters'!$D$24),('LCOE parameters'!$D$36*'LCOE parameters'!$D$23*'LCOE parameters'!$D$24))</f>
        <v>0</v>
      </c>
      <c r="M70" s="58">
        <f>SUM(('LCOE parameters'!$D$33*'LCOE parameters'!$D$23*'LCOE parameters'!$D$24),('LCOE parameters'!$D$34*'LCOE parameters'!$D$23*'LCOE parameters'!$D$24),('LCOE parameters'!$D$35*'LCOE parameters'!$D$23*'LCOE parameters'!$D$24),('LCOE parameters'!$D$36*'LCOE parameters'!$D$23*'LCOE parameters'!$D$24))</f>
        <v>0</v>
      </c>
      <c r="N70" s="58">
        <f>SUM(('LCOE parameters'!$D$33*'LCOE parameters'!$D$23*'LCOE parameters'!$D$24),('LCOE parameters'!$D$34*'LCOE parameters'!$D$23*'LCOE parameters'!$D$24),('LCOE parameters'!$D$35*'LCOE parameters'!$D$23*'LCOE parameters'!$D$24),('LCOE parameters'!$D$36*'LCOE parameters'!$D$23*'LCOE parameters'!$D$24))</f>
        <v>0</v>
      </c>
      <c r="O70" s="58">
        <f>SUM(('LCOE parameters'!$D$33*'LCOE parameters'!$D$23*'LCOE parameters'!$D$24),('LCOE parameters'!$D$34*'LCOE parameters'!$D$23*'LCOE parameters'!$D$24),('LCOE parameters'!$D$35*'LCOE parameters'!$D$23*'LCOE parameters'!$D$24),('LCOE parameters'!$D$36*'LCOE parameters'!$D$23*'LCOE parameters'!$D$24))</f>
        <v>0</v>
      </c>
      <c r="P70" s="58">
        <f>SUM(('LCOE parameters'!$D$33*'LCOE parameters'!$D$23*'LCOE parameters'!$D$24),('LCOE parameters'!$D$34*'LCOE parameters'!$D$23*'LCOE parameters'!$D$24),('LCOE parameters'!$D$35*'LCOE parameters'!$D$23*'LCOE parameters'!$D$24),('LCOE parameters'!$D$36*'LCOE parameters'!$D$23*'LCOE parameters'!$D$24))</f>
        <v>0</v>
      </c>
      <c r="Q70" s="58">
        <f>SUM(('LCOE parameters'!$D$33*'LCOE parameters'!$D$23*'LCOE parameters'!$D$24),('LCOE parameters'!$D$34*'LCOE parameters'!$D$23*'LCOE parameters'!$D$24),('LCOE parameters'!$D$35*'LCOE parameters'!$D$23*'LCOE parameters'!$D$24),('LCOE parameters'!$D$36*'LCOE parameters'!$D$23*'LCOE parameters'!$D$24))</f>
        <v>0</v>
      </c>
      <c r="R70" s="58">
        <f>SUM(('LCOE parameters'!$D$33*'LCOE parameters'!$D$23*'LCOE parameters'!$D$24),('LCOE parameters'!$D$34*'LCOE parameters'!$D$23*'LCOE parameters'!$D$24),('LCOE parameters'!$D$35*'LCOE parameters'!$D$23*'LCOE parameters'!$D$24),('LCOE parameters'!$D$36*'LCOE parameters'!$D$23*'LCOE parameters'!$D$24))</f>
        <v>0</v>
      </c>
      <c r="S70" s="58">
        <f>SUM(('LCOE parameters'!$D$33*'LCOE parameters'!$D$23*'LCOE parameters'!$D$24),('LCOE parameters'!$D$34*'LCOE parameters'!$D$23*'LCOE parameters'!$D$24),('LCOE parameters'!$D$35*'LCOE parameters'!$D$23*'LCOE parameters'!$D$24),('LCOE parameters'!$D$36*'LCOE parameters'!$D$23*'LCOE parameters'!$D$24))</f>
        <v>0</v>
      </c>
      <c r="T70" s="58">
        <f>SUM(('LCOE parameters'!$D$33*'LCOE parameters'!$D$23*'LCOE parameters'!$D$24),('LCOE parameters'!$D$34*'LCOE parameters'!$D$23*'LCOE parameters'!$D$24),('LCOE parameters'!$D$35*'LCOE parameters'!$D$23*'LCOE parameters'!$D$24),('LCOE parameters'!$D$36*'LCOE parameters'!$D$23*'LCOE parameters'!$D$24))</f>
        <v>0</v>
      </c>
      <c r="U70" s="58">
        <f>SUM(('LCOE parameters'!$D$33*'LCOE parameters'!$D$23*'LCOE parameters'!$D$24),('LCOE parameters'!$D$34*'LCOE parameters'!$D$23*'LCOE parameters'!$D$24),('LCOE parameters'!$D$35*'LCOE parameters'!$D$23*'LCOE parameters'!$D$24),('LCOE parameters'!$D$36*'LCOE parameters'!$D$23*'LCOE parameters'!$D$24))</f>
        <v>0</v>
      </c>
      <c r="V70" s="58">
        <f>SUM(('LCOE parameters'!$D$33*'LCOE parameters'!$D$23*'LCOE parameters'!$D$24),('LCOE parameters'!$D$34*'LCOE parameters'!$D$23*'LCOE parameters'!$D$24),('LCOE parameters'!$D$35*'LCOE parameters'!$D$23*'LCOE parameters'!$D$24),('LCOE parameters'!$D$36*'LCOE parameters'!$D$23*'LCOE parameters'!$D$24))</f>
        <v>0</v>
      </c>
      <c r="W70" s="58">
        <f>SUM(('LCOE parameters'!$D$33*'LCOE parameters'!$D$23*'LCOE parameters'!$D$24),('LCOE parameters'!$D$34*'LCOE parameters'!$D$23*'LCOE parameters'!$D$24),('LCOE parameters'!$D$35*'LCOE parameters'!$D$23*'LCOE parameters'!$D$24),('LCOE parameters'!$D$36*'LCOE parameters'!$D$23*'LCOE parameters'!$D$24))</f>
        <v>0</v>
      </c>
      <c r="X70" s="58">
        <f>SUM(('LCOE parameters'!$D$33*'LCOE parameters'!$D$23*'LCOE parameters'!$D$24),('LCOE parameters'!$D$34*'LCOE parameters'!$D$23*'LCOE parameters'!$D$24),('LCOE parameters'!$D$35*'LCOE parameters'!$D$23*'LCOE parameters'!$D$24),('LCOE parameters'!$D$36*'LCOE parameters'!$D$23*'LCOE parameters'!$D$24))</f>
        <v>0</v>
      </c>
      <c r="Y70" s="58">
        <f>SUM(('LCOE parameters'!$D$33*'LCOE parameters'!$D$23*'LCOE parameters'!$D$24),('LCOE parameters'!$D$34*'LCOE parameters'!$D$23*'LCOE parameters'!$D$24),('LCOE parameters'!$D$35*'LCOE parameters'!$D$23*'LCOE parameters'!$D$24),('LCOE parameters'!$D$36*'LCOE parameters'!$D$23*'LCOE parameters'!$D$24))</f>
        <v>0</v>
      </c>
      <c r="Z70" s="58">
        <f>SUM(('LCOE parameters'!$D$33*'LCOE parameters'!$D$23*'LCOE parameters'!$D$24),('LCOE parameters'!$D$34*'LCOE parameters'!$D$23*'LCOE parameters'!$D$24),('LCOE parameters'!$D$35*'LCOE parameters'!$D$23*'LCOE parameters'!$D$24),('LCOE parameters'!$D$36*'LCOE parameters'!$D$23*'LCOE parameters'!$D$24))</f>
        <v>0</v>
      </c>
      <c r="AA70" s="58">
        <f>SUM(('LCOE parameters'!$D$33*'LCOE parameters'!$D$23*'LCOE parameters'!$D$24),('LCOE parameters'!$D$34*'LCOE parameters'!$D$23*'LCOE parameters'!$D$24),('LCOE parameters'!$D$35*'LCOE parameters'!$D$23*'LCOE parameters'!$D$24),('LCOE parameters'!$D$36*'LCOE parameters'!$D$23*'LCOE parameters'!$D$24))</f>
        <v>0</v>
      </c>
      <c r="AB70" s="58">
        <f>SUM(('LCOE parameters'!$D$33*'LCOE parameters'!$D$23*'LCOE parameters'!$D$24),('LCOE parameters'!$D$34*'LCOE parameters'!$D$23*'LCOE parameters'!$D$24),('LCOE parameters'!$D$35*'LCOE parameters'!$D$23*'LCOE parameters'!$D$24),('LCOE parameters'!$D$36*'LCOE parameters'!$D$23*'LCOE parameters'!$D$24))</f>
        <v>0</v>
      </c>
      <c r="AC70" s="58">
        <f>SUM(('LCOE parameters'!$D$33*'LCOE parameters'!$D$23*'LCOE parameters'!$D$24),('LCOE parameters'!$D$34*'LCOE parameters'!$D$23*'LCOE parameters'!$D$24),('LCOE parameters'!$D$35*'LCOE parameters'!$D$23*'LCOE parameters'!$D$24),('LCOE parameters'!$D$36*'LCOE parameters'!$D$23*'LCOE parameters'!$D$24))</f>
        <v>0</v>
      </c>
      <c r="AD70" s="58">
        <f>SUM(('LCOE parameters'!$D$33*'LCOE parameters'!$D$23*'LCOE parameters'!$D$24),('LCOE parameters'!$D$34*'LCOE parameters'!$D$23*'LCOE parameters'!$D$24),('LCOE parameters'!$D$35*'LCOE parameters'!$D$23*'LCOE parameters'!$D$24),('LCOE parameters'!$D$36*'LCOE parameters'!$D$23*'LCOE parameters'!$D$24))</f>
        <v>0</v>
      </c>
      <c r="AE70" s="58">
        <f>SUM(('LCOE parameters'!$D$33*'LCOE parameters'!$D$23*'LCOE parameters'!$D$24),('LCOE parameters'!$D$34*'LCOE parameters'!$D$23*'LCOE parameters'!$D$24),('LCOE parameters'!$D$35*'LCOE parameters'!$D$23*'LCOE parameters'!$D$24),('LCOE parameters'!$D$36*'LCOE parameters'!$D$23*'LCOE parameters'!$D$24))</f>
        <v>0</v>
      </c>
      <c r="AF70" s="58">
        <f>SUM(('LCOE parameters'!$D$33*'LCOE parameters'!$D$23*'LCOE parameters'!$D$24),('LCOE parameters'!$D$34*'LCOE parameters'!$D$23*'LCOE parameters'!$D$24),('LCOE parameters'!$D$35*'LCOE parameters'!$D$23*'LCOE parameters'!$D$24),('LCOE parameters'!$D$36*'LCOE parameters'!$D$23*'LCOE parameters'!$D$24))</f>
        <v>0</v>
      </c>
      <c r="AG70" s="58">
        <f>SUM(('LCOE parameters'!$D$33*'LCOE parameters'!$D$23*'LCOE parameters'!$D$24),('LCOE parameters'!$D$34*'LCOE parameters'!$D$23*'LCOE parameters'!$D$24),('LCOE parameters'!$D$35*'LCOE parameters'!$D$23*'LCOE parameters'!$D$24),('LCOE parameters'!$D$36*'LCOE parameters'!$D$23*'LCOE parameters'!$D$24))</f>
        <v>0</v>
      </c>
      <c r="AH70" s="58">
        <f>SUM(('LCOE parameters'!$D$33*'LCOE parameters'!$D$23*'LCOE parameters'!$D$24),('LCOE parameters'!$D$34*'LCOE parameters'!$D$23*'LCOE parameters'!$D$24),('LCOE parameters'!$D$35*'LCOE parameters'!$D$23*'LCOE parameters'!$D$24),('LCOE parameters'!$D$36*'LCOE parameters'!$D$23*'LCOE parameters'!$D$24))</f>
        <v>0</v>
      </c>
      <c r="AI70" s="58">
        <f>SUM(('LCOE parameters'!$D$33*'LCOE parameters'!$D$23*'LCOE parameters'!$D$24),('LCOE parameters'!$D$34*'LCOE parameters'!$D$23*'LCOE parameters'!$D$24),('LCOE parameters'!$D$35*'LCOE parameters'!$D$23*'LCOE parameters'!$D$24),('LCOE parameters'!$D$36*'LCOE parameters'!$D$23*'LCOE parameters'!$D$24))</f>
        <v>0</v>
      </c>
      <c r="AJ70" s="58">
        <f>SUM(('LCOE parameters'!$D$33*'LCOE parameters'!$D$23*'LCOE parameters'!$D$24),('LCOE parameters'!$D$34*'LCOE parameters'!$D$23*'LCOE parameters'!$D$24),('LCOE parameters'!$D$35*'LCOE parameters'!$D$23*'LCOE parameters'!$D$24),('LCOE parameters'!$D$36*'LCOE parameters'!$D$23*'LCOE parameters'!$D$24))</f>
        <v>0</v>
      </c>
      <c r="AK70" s="58">
        <f>SUM(('LCOE parameters'!$D$33*'LCOE parameters'!$D$23*'LCOE parameters'!$D$24),('LCOE parameters'!$D$34*'LCOE parameters'!$D$23*'LCOE parameters'!$D$24),('LCOE parameters'!$D$35*'LCOE parameters'!$D$23*'LCOE parameters'!$D$24),('LCOE parameters'!$D$36*'LCOE parameters'!$D$23*'LCOE parameters'!$D$24))</f>
        <v>0</v>
      </c>
      <c r="AL70" s="58">
        <f>SUM(('LCOE parameters'!$D$33*'LCOE parameters'!$D$23*'LCOE parameters'!$D$24),('LCOE parameters'!$D$34*'LCOE parameters'!$D$23*'LCOE parameters'!$D$24),('LCOE parameters'!$D$35*'LCOE parameters'!$D$23*'LCOE parameters'!$D$24),('LCOE parameters'!$D$36*'LCOE parameters'!$D$23*'LCOE parameters'!$D$24))</f>
        <v>0</v>
      </c>
      <c r="AM70" s="58">
        <f>SUM(('LCOE parameters'!$D$33*'LCOE parameters'!$D$23*'LCOE parameters'!$D$24),('LCOE parameters'!$D$34*'LCOE parameters'!$D$23*'LCOE parameters'!$D$24),('LCOE parameters'!$D$35*'LCOE parameters'!$D$23*'LCOE parameters'!$D$24),('LCOE parameters'!$D$36*'LCOE parameters'!$D$23*'LCOE parameters'!$D$24))</f>
        <v>0</v>
      </c>
      <c r="AN70" s="58">
        <f>SUM(('LCOE parameters'!$D$33*'LCOE parameters'!$D$23*'LCOE parameters'!$D$24),('LCOE parameters'!$D$34*'LCOE parameters'!$D$23*'LCOE parameters'!$D$24),('LCOE parameters'!$D$35*'LCOE parameters'!$D$23*'LCOE parameters'!$D$24),('LCOE parameters'!$D$36*'LCOE parameters'!$D$23*'LCOE parameters'!$D$24))</f>
        <v>0</v>
      </c>
      <c r="AO70" s="58">
        <f>SUM(('LCOE parameters'!$D$33*'LCOE parameters'!$D$23*'LCOE parameters'!$D$24),('LCOE parameters'!$D$34*'LCOE parameters'!$D$23*'LCOE parameters'!$D$24),('LCOE parameters'!$D$35*'LCOE parameters'!$D$23*'LCOE parameters'!$D$24),('LCOE parameters'!$D$36*'LCOE parameters'!$D$23*'LCOE parameters'!$D$24))</f>
        <v>0</v>
      </c>
      <c r="AP70" s="58">
        <f>SUM(('LCOE parameters'!$D$33*'LCOE parameters'!$D$23*'LCOE parameters'!$D$24),('LCOE parameters'!$D$34*'LCOE parameters'!$D$23*'LCOE parameters'!$D$24),('LCOE parameters'!$D$35*'LCOE parameters'!$D$23*'LCOE parameters'!$D$24),('LCOE parameters'!$D$36*'LCOE parameters'!$D$23*'LCOE parameters'!$D$24))</f>
        <v>0</v>
      </c>
    </row>
    <row r="71" spans="1:42">
      <c r="A71" s="61" t="s">
        <v>196</v>
      </c>
      <c r="C71" s="58">
        <f>'LCOE parameters'!$D$37</f>
        <v>0</v>
      </c>
      <c r="D71" s="58">
        <f>'LCOE parameters'!$D$37</f>
        <v>0</v>
      </c>
      <c r="E71" s="58">
        <f>'LCOE parameters'!$D$37</f>
        <v>0</v>
      </c>
      <c r="F71" s="58">
        <f>'LCOE parameters'!$D$37</f>
        <v>0</v>
      </c>
      <c r="G71" s="58">
        <f>'LCOE parameters'!$D$37</f>
        <v>0</v>
      </c>
      <c r="H71" s="58">
        <f>'LCOE parameters'!$D$37</f>
        <v>0</v>
      </c>
      <c r="I71" s="58">
        <f>'LCOE parameters'!$D$37</f>
        <v>0</v>
      </c>
      <c r="J71" s="58">
        <f>'LCOE parameters'!$D$37</f>
        <v>0</v>
      </c>
      <c r="K71" s="58">
        <f>'LCOE parameters'!$D$37</f>
        <v>0</v>
      </c>
      <c r="L71" s="58">
        <f>'LCOE parameters'!$D$37</f>
        <v>0</v>
      </c>
      <c r="M71" s="58">
        <f>'LCOE parameters'!$D$37</f>
        <v>0</v>
      </c>
      <c r="N71" s="58">
        <f>'LCOE parameters'!$D$37</f>
        <v>0</v>
      </c>
      <c r="O71" s="58">
        <f>'LCOE parameters'!$D$37</f>
        <v>0</v>
      </c>
      <c r="P71" s="58">
        <f>'LCOE parameters'!$D$37</f>
        <v>0</v>
      </c>
      <c r="Q71" s="58">
        <f>'LCOE parameters'!$D$37</f>
        <v>0</v>
      </c>
      <c r="R71" s="58">
        <f>'LCOE parameters'!$D$37</f>
        <v>0</v>
      </c>
      <c r="S71" s="58">
        <f>'LCOE parameters'!$D$37</f>
        <v>0</v>
      </c>
      <c r="T71" s="58">
        <f>'LCOE parameters'!$D$37</f>
        <v>0</v>
      </c>
      <c r="U71" s="58">
        <f>'LCOE parameters'!$D$37</f>
        <v>0</v>
      </c>
      <c r="V71" s="58">
        <f>'LCOE parameters'!$D$37</f>
        <v>0</v>
      </c>
      <c r="W71" s="58">
        <f>'LCOE parameters'!$D$37</f>
        <v>0</v>
      </c>
      <c r="X71" s="58">
        <f>'LCOE parameters'!$D$37</f>
        <v>0</v>
      </c>
      <c r="Y71" s="58">
        <f>'LCOE parameters'!$D$37</f>
        <v>0</v>
      </c>
      <c r="Z71" s="58">
        <f>'LCOE parameters'!$D$37</f>
        <v>0</v>
      </c>
      <c r="AA71" s="58">
        <f>'LCOE parameters'!$D$37</f>
        <v>0</v>
      </c>
      <c r="AB71" s="58">
        <f>'LCOE parameters'!$D$37</f>
        <v>0</v>
      </c>
      <c r="AC71" s="58">
        <f>'LCOE parameters'!$D$37</f>
        <v>0</v>
      </c>
      <c r="AD71" s="58">
        <f>'LCOE parameters'!$D$37</f>
        <v>0</v>
      </c>
      <c r="AE71" s="58">
        <f>'LCOE parameters'!$D$37</f>
        <v>0</v>
      </c>
      <c r="AF71" s="58">
        <f>'LCOE parameters'!$D$37</f>
        <v>0</v>
      </c>
      <c r="AG71" s="58">
        <f>'LCOE parameters'!$D$37</f>
        <v>0</v>
      </c>
      <c r="AH71" s="58">
        <f>'LCOE parameters'!$D$37</f>
        <v>0</v>
      </c>
      <c r="AI71" s="58">
        <f>'LCOE parameters'!$D$37</f>
        <v>0</v>
      </c>
      <c r="AJ71" s="58">
        <f>'LCOE parameters'!$D$37</f>
        <v>0</v>
      </c>
      <c r="AK71" s="58">
        <f>'LCOE parameters'!$D$37</f>
        <v>0</v>
      </c>
      <c r="AL71" s="58">
        <f>'LCOE parameters'!$D$37</f>
        <v>0</v>
      </c>
      <c r="AM71" s="58">
        <f>'LCOE parameters'!$D$37</f>
        <v>0</v>
      </c>
      <c r="AN71" s="58">
        <f>'LCOE parameters'!$D$37</f>
        <v>0</v>
      </c>
      <c r="AO71" s="58">
        <f>'LCOE parameters'!$D$37</f>
        <v>0</v>
      </c>
      <c r="AP71" s="58">
        <f>'LCOE parameters'!$D$37</f>
        <v>0</v>
      </c>
    </row>
    <row r="72" spans="1:42">
      <c r="A72" s="61" t="s">
        <v>197</v>
      </c>
      <c r="C72" s="58">
        <f>('LCOE parameters'!$D$38*Assumptions!$C$17)*('LCOE parameters'!$D$23*Assumptions!$C$4)</f>
        <v>6950</v>
      </c>
      <c r="D72" s="58">
        <f>('LCOE parameters'!$D$38*Assumptions!$C$17)*('LCOE parameters'!$D$23*Assumptions!$C$4)</f>
        <v>6950</v>
      </c>
      <c r="E72" s="58">
        <f>('LCOE parameters'!$D$38*Assumptions!$C$17)*('LCOE parameters'!$D$23*Assumptions!$C$4)</f>
        <v>6950</v>
      </c>
      <c r="F72" s="58">
        <f>('LCOE parameters'!$D$38*Assumptions!$C$17)*('LCOE parameters'!$D$23*Assumptions!$C$4)</f>
        <v>6950</v>
      </c>
      <c r="G72" s="58">
        <f>('LCOE parameters'!$D$38*Assumptions!$C$17)*('LCOE parameters'!$D$23*Assumptions!$C$4)</f>
        <v>6950</v>
      </c>
      <c r="H72" s="58">
        <f>('LCOE parameters'!$D$38*Assumptions!$C$17)*('LCOE parameters'!$D$23*Assumptions!$C$4)</f>
        <v>6950</v>
      </c>
      <c r="I72" s="58">
        <f>('LCOE parameters'!$D$38*Assumptions!$C$17)*('LCOE parameters'!$D$23*Assumptions!$C$4)</f>
        <v>6950</v>
      </c>
      <c r="J72" s="58">
        <f>('LCOE parameters'!$D$38*Assumptions!$C$17)*('LCOE parameters'!$D$23*Assumptions!$C$4)</f>
        <v>6950</v>
      </c>
      <c r="K72" s="58">
        <f>('LCOE parameters'!$D$38*Assumptions!$C$17)*('LCOE parameters'!$D$23*Assumptions!$C$4)</f>
        <v>6950</v>
      </c>
      <c r="L72" s="58">
        <f>('LCOE parameters'!$D$38*Assumptions!$C$17)*('LCOE parameters'!$D$23*Assumptions!$C$4)</f>
        <v>6950</v>
      </c>
      <c r="M72" s="58">
        <f>('LCOE parameters'!$D$38*Assumptions!$C$17)*('LCOE parameters'!$D$23*Assumptions!$C$4)</f>
        <v>6950</v>
      </c>
      <c r="N72" s="58">
        <f>('LCOE parameters'!$D$38*Assumptions!$C$17)*('LCOE parameters'!$D$23*Assumptions!$C$4)</f>
        <v>6950</v>
      </c>
      <c r="O72" s="58">
        <f>('LCOE parameters'!$D$38*Assumptions!$C$17)*('LCOE parameters'!$D$23*Assumptions!$C$4)</f>
        <v>6950</v>
      </c>
      <c r="P72" s="58">
        <f>('LCOE parameters'!$D$38*Assumptions!$C$17)*('LCOE parameters'!$D$23*Assumptions!$C$4)</f>
        <v>6950</v>
      </c>
      <c r="Q72" s="58">
        <f>('LCOE parameters'!$D$38*Assumptions!$C$17)*('LCOE parameters'!$D$23*Assumptions!$C$4)</f>
        <v>6950</v>
      </c>
      <c r="R72" s="58">
        <f>('LCOE parameters'!$D$38*Assumptions!$C$17)*('LCOE parameters'!$D$23*Assumptions!$C$4)</f>
        <v>6950</v>
      </c>
      <c r="S72" s="58">
        <f>('LCOE parameters'!$D$38*Assumptions!$C$17)*('LCOE parameters'!$D$23*Assumptions!$C$4)</f>
        <v>6950</v>
      </c>
      <c r="T72" s="58">
        <f>('LCOE parameters'!$D$38*Assumptions!$C$17)*('LCOE parameters'!$D$23*Assumptions!$C$4)</f>
        <v>6950</v>
      </c>
      <c r="U72" s="58">
        <f>('LCOE parameters'!$D$38*Assumptions!$C$17)*('LCOE parameters'!$D$23*Assumptions!$C$4)</f>
        <v>6950</v>
      </c>
      <c r="V72" s="58">
        <f>('LCOE parameters'!$D$38*Assumptions!$C$17)*('LCOE parameters'!$D$23*Assumptions!$C$4)</f>
        <v>6950</v>
      </c>
      <c r="W72" s="58">
        <f>('LCOE parameters'!$D$38*Assumptions!$C$17)*('LCOE parameters'!$D$23*Assumptions!$C$4)</f>
        <v>6950</v>
      </c>
      <c r="X72" s="58">
        <f>('LCOE parameters'!$D$38*Assumptions!$C$17)*('LCOE parameters'!$D$23*Assumptions!$C$4)</f>
        <v>6950</v>
      </c>
      <c r="Y72" s="58">
        <f>('LCOE parameters'!$D$38*Assumptions!$C$17)*('LCOE parameters'!$D$23*Assumptions!$C$4)</f>
        <v>6950</v>
      </c>
      <c r="Z72" s="58">
        <f>('LCOE parameters'!$D$38*Assumptions!$C$17)*('LCOE parameters'!$D$23*Assumptions!$C$4)</f>
        <v>6950</v>
      </c>
      <c r="AA72" s="58">
        <f>('LCOE parameters'!$D$38*Assumptions!$C$17)*('LCOE parameters'!$D$23*Assumptions!$C$4)</f>
        <v>6950</v>
      </c>
      <c r="AB72" s="58">
        <f>('LCOE parameters'!$D$38*Assumptions!$C$17)*('LCOE parameters'!$D$23*Assumptions!$C$4)</f>
        <v>6950</v>
      </c>
      <c r="AC72" s="58">
        <f>('LCOE parameters'!$D$38*Assumptions!$C$17)*('LCOE parameters'!$D$23*Assumptions!$C$4)</f>
        <v>6950</v>
      </c>
      <c r="AD72" s="58">
        <f>('LCOE parameters'!$D$38*Assumptions!$C$17)*('LCOE parameters'!$D$23*Assumptions!$C$4)</f>
        <v>6950</v>
      </c>
      <c r="AE72" s="58">
        <f>('LCOE parameters'!$D$38*Assumptions!$C$17)*('LCOE parameters'!$D$23*Assumptions!$C$4)</f>
        <v>6950</v>
      </c>
      <c r="AF72" s="58">
        <f>('LCOE parameters'!$D$38*Assumptions!$C$17)*('LCOE parameters'!$D$23*Assumptions!$C$4)</f>
        <v>6950</v>
      </c>
      <c r="AG72" s="58">
        <f>('LCOE parameters'!$D$38*Assumptions!$C$17)*('LCOE parameters'!$D$23*Assumptions!$C$4)</f>
        <v>6950</v>
      </c>
      <c r="AH72" s="58">
        <f>('LCOE parameters'!$D$38*Assumptions!$C$17)*('LCOE parameters'!$D$23*Assumptions!$C$4)</f>
        <v>6950</v>
      </c>
      <c r="AI72" s="58">
        <f>('LCOE parameters'!$D$38*Assumptions!$C$17)*('LCOE parameters'!$D$23*Assumptions!$C$4)</f>
        <v>6950</v>
      </c>
      <c r="AJ72" s="58">
        <f>('LCOE parameters'!$D$38*Assumptions!$C$17)*('LCOE parameters'!$D$23*Assumptions!$C$4)</f>
        <v>6950</v>
      </c>
      <c r="AK72" s="58">
        <f>('LCOE parameters'!$D$38*Assumptions!$C$17)*('LCOE parameters'!$D$23*Assumptions!$C$4)</f>
        <v>6950</v>
      </c>
      <c r="AL72" s="58">
        <f>('LCOE parameters'!$D$38*Assumptions!$C$17)*('LCOE parameters'!$D$23*Assumptions!$C$4)</f>
        <v>6950</v>
      </c>
      <c r="AM72" s="58">
        <f>('LCOE parameters'!$D$38*Assumptions!$C$17)*('LCOE parameters'!$D$23*Assumptions!$C$4)</f>
        <v>6950</v>
      </c>
      <c r="AN72" s="58">
        <f>('LCOE parameters'!$D$38*Assumptions!$C$17)*('LCOE parameters'!$D$23*Assumptions!$C$4)</f>
        <v>6950</v>
      </c>
      <c r="AO72" s="58">
        <f>('LCOE parameters'!$D$38*Assumptions!$C$17)*('LCOE parameters'!$D$23*Assumptions!$C$4)</f>
        <v>6950</v>
      </c>
      <c r="AP72" s="58">
        <f>('LCOE parameters'!$D$38*Assumptions!$C$17)*('LCOE parameters'!$D$23*Assumptions!$C$4)</f>
        <v>6950</v>
      </c>
    </row>
    <row r="73" spans="1:42">
      <c r="A73" s="58" t="s">
        <v>209</v>
      </c>
      <c r="B73" s="58">
        <f>'LCOE parameters'!D23*'LCOE parameters'!D24*'LCOE parameters'!D41*'LCOE parameters'!B49*'LCOE parameters'!B50</f>
        <v>73277.998133411384</v>
      </c>
    </row>
    <row r="74" spans="1:42">
      <c r="A74" s="58" t="s">
        <v>210</v>
      </c>
      <c r="B74" s="80">
        <f>B99</f>
        <v>393749.99999999994</v>
      </c>
    </row>
    <row r="75" spans="1:42">
      <c r="A75" s="58" t="s">
        <v>149</v>
      </c>
      <c r="B75" s="58">
        <v>0</v>
      </c>
      <c r="C75" s="58">
        <f>('LCOE parameters'!$D$23*Assumptions!$C$4)*('LCOE parameters'!$D$24*Assumptions!$C$6)</f>
        <v>17500</v>
      </c>
      <c r="D75" s="58">
        <f>('LCOE parameters'!$D$23*Assumptions!$C$4)*('LCOE parameters'!$D$24*Assumptions!$C$6)</f>
        <v>17500</v>
      </c>
      <c r="E75" s="58">
        <f>('LCOE parameters'!$D$23*Assumptions!$C$4)*('LCOE parameters'!$D$24*Assumptions!$C$6)</f>
        <v>17500</v>
      </c>
      <c r="F75" s="58">
        <f>('LCOE parameters'!$D$23*Assumptions!$C$4)*('LCOE parameters'!$D$24*Assumptions!$C$6)</f>
        <v>17500</v>
      </c>
      <c r="G75" s="58">
        <f>('LCOE parameters'!$D$23*Assumptions!$C$4)*('LCOE parameters'!$D$24*Assumptions!$C$6)</f>
        <v>17500</v>
      </c>
      <c r="H75" s="58">
        <f>('LCOE parameters'!$D$23*Assumptions!$C$4)*('LCOE parameters'!$D$24*Assumptions!$C$6)</f>
        <v>17500</v>
      </c>
      <c r="I75" s="58">
        <f>('LCOE parameters'!$D$23*Assumptions!$C$4)*('LCOE parameters'!$D$24*Assumptions!$C$6)</f>
        <v>17500</v>
      </c>
      <c r="J75" s="58">
        <f>('LCOE parameters'!$D$23*Assumptions!$C$4)*('LCOE parameters'!$D$24*Assumptions!$C$6)</f>
        <v>17500</v>
      </c>
      <c r="K75" s="58">
        <f>('LCOE parameters'!$D$23*Assumptions!$C$4)*('LCOE parameters'!$D$24*Assumptions!$C$6)</f>
        <v>17500</v>
      </c>
      <c r="L75" s="58">
        <f>('LCOE parameters'!$D$23*Assumptions!$C$4)*('LCOE parameters'!$D$24*Assumptions!$C$6)</f>
        <v>17500</v>
      </c>
      <c r="M75" s="58">
        <f>('LCOE parameters'!$D$23*Assumptions!$C$4)*('LCOE parameters'!$D$24*Assumptions!$C$6)</f>
        <v>17500</v>
      </c>
      <c r="N75" s="58">
        <f>('LCOE parameters'!$D$23*Assumptions!$C$4)*('LCOE parameters'!$D$24*Assumptions!$C$6)</f>
        <v>17500</v>
      </c>
      <c r="O75" s="58">
        <f>('LCOE parameters'!$D$23*Assumptions!$C$4)*('LCOE parameters'!$D$24*Assumptions!$C$6)</f>
        <v>17500</v>
      </c>
      <c r="P75" s="58">
        <f>('LCOE parameters'!$D$23*Assumptions!$C$4)*('LCOE parameters'!$D$24*Assumptions!$C$6)</f>
        <v>17500</v>
      </c>
      <c r="Q75" s="58">
        <f>('LCOE parameters'!$D$23*Assumptions!$C$4)*('LCOE parameters'!$D$24*Assumptions!$C$6)</f>
        <v>17500</v>
      </c>
      <c r="R75" s="58">
        <f>('LCOE parameters'!$D$23*Assumptions!$C$4)*('LCOE parameters'!$D$24*Assumptions!$C$6)</f>
        <v>17500</v>
      </c>
      <c r="S75" s="58">
        <f>('LCOE parameters'!$D$23*Assumptions!$C$4)*('LCOE parameters'!$D$24*Assumptions!$C$6)</f>
        <v>17500</v>
      </c>
      <c r="T75" s="58">
        <f>('LCOE parameters'!$D$23*Assumptions!$C$4)*('LCOE parameters'!$D$24*Assumptions!$C$6)</f>
        <v>17500</v>
      </c>
      <c r="U75" s="58">
        <f>('LCOE parameters'!$D$23*Assumptions!$C$4)*('LCOE parameters'!$D$24*Assumptions!$C$6)</f>
        <v>17500</v>
      </c>
      <c r="V75" s="58">
        <f>('LCOE parameters'!$D$23*Assumptions!$C$4)*('LCOE parameters'!$D$24*Assumptions!$C$6)</f>
        <v>17500</v>
      </c>
      <c r="W75" s="58">
        <f>('LCOE parameters'!$D$23*Assumptions!$C$4)*('LCOE parameters'!$D$24*Assumptions!$C$6)</f>
        <v>17500</v>
      </c>
      <c r="X75" s="58">
        <f>('LCOE parameters'!$D$23*Assumptions!$C$4)*('LCOE parameters'!$D$24*Assumptions!$C$6)</f>
        <v>17500</v>
      </c>
      <c r="Y75" s="58">
        <f>('LCOE parameters'!$D$23*Assumptions!$C$4)*('LCOE parameters'!$D$24*Assumptions!$C$6)</f>
        <v>17500</v>
      </c>
      <c r="Z75" s="58">
        <f>('LCOE parameters'!$D$23*Assumptions!$C$4)*('LCOE parameters'!$D$24*Assumptions!$C$6)</f>
        <v>17500</v>
      </c>
      <c r="AA75" s="58">
        <f>('LCOE parameters'!$D$23*Assumptions!$C$4)*('LCOE parameters'!$D$24*Assumptions!$C$6)</f>
        <v>17500</v>
      </c>
      <c r="AB75" s="58">
        <f>('LCOE parameters'!$D$23*Assumptions!$C$4)*('LCOE parameters'!$D$24*Assumptions!$C$6)</f>
        <v>17500</v>
      </c>
      <c r="AC75" s="58">
        <f>('LCOE parameters'!$D$23*Assumptions!$C$4)*('LCOE parameters'!$D$24*Assumptions!$C$6)</f>
        <v>17500</v>
      </c>
      <c r="AD75" s="58">
        <f>('LCOE parameters'!$D$23*Assumptions!$C$4)*('LCOE parameters'!$D$24*Assumptions!$C$6)</f>
        <v>17500</v>
      </c>
      <c r="AE75" s="58">
        <f>('LCOE parameters'!$D$23*Assumptions!$C$4)*('LCOE parameters'!$D$24*Assumptions!$C$6)</f>
        <v>17500</v>
      </c>
      <c r="AF75" s="58">
        <f>('LCOE parameters'!$D$23*Assumptions!$C$4)*('LCOE parameters'!$D$24*Assumptions!$C$6)</f>
        <v>17500</v>
      </c>
      <c r="AG75" s="58">
        <f>('LCOE parameters'!$D$23*Assumptions!$C$4)*('LCOE parameters'!$D$24*Assumptions!$C$6)</f>
        <v>17500</v>
      </c>
      <c r="AH75" s="58">
        <f>('LCOE parameters'!$D$23*Assumptions!$C$4)*('LCOE parameters'!$D$24*Assumptions!$C$6)</f>
        <v>17500</v>
      </c>
      <c r="AI75" s="58">
        <f>('LCOE parameters'!$D$23*Assumptions!$C$4)*('LCOE parameters'!$D$24*Assumptions!$C$6)</f>
        <v>17500</v>
      </c>
      <c r="AJ75" s="58">
        <f>('LCOE parameters'!$D$23*Assumptions!$C$4)*('LCOE parameters'!$D$24*Assumptions!$C$6)</f>
        <v>17500</v>
      </c>
      <c r="AK75" s="58">
        <f>('LCOE parameters'!$D$23*Assumptions!$C$4)*('LCOE parameters'!$D$24*Assumptions!$C$6)</f>
        <v>17500</v>
      </c>
      <c r="AL75" s="58">
        <f>('LCOE parameters'!$D$23*Assumptions!$C$4)*('LCOE parameters'!$D$24*Assumptions!$C$6)</f>
        <v>17500</v>
      </c>
      <c r="AM75" s="58">
        <f>('LCOE parameters'!$D$23*Assumptions!$C$4)*('LCOE parameters'!$D$24*Assumptions!$C$6)</f>
        <v>17500</v>
      </c>
      <c r="AN75" s="58">
        <f>('LCOE parameters'!$D$23*Assumptions!$C$4)*('LCOE parameters'!$D$24*Assumptions!$C$6)</f>
        <v>17500</v>
      </c>
      <c r="AO75" s="58">
        <f>('LCOE parameters'!$D$23*Assumptions!$C$4)*('LCOE parameters'!$D$24*Assumptions!$C$6)</f>
        <v>17500</v>
      </c>
      <c r="AP75" s="58">
        <f>('LCOE parameters'!$D$23*Assumptions!$C$4)*('LCOE parameters'!$D$24*Assumptions!$C$6)</f>
        <v>17500</v>
      </c>
    </row>
    <row r="76" spans="1:42">
      <c r="A76" s="58" t="s">
        <v>166</v>
      </c>
      <c r="B76" s="64">
        <f>('LCOE parameters'!$D$28*Assumptions!$C$10)</f>
        <v>4.2999999999999997E-2</v>
      </c>
      <c r="C76" s="64">
        <f>('LCOE parameters'!$D$28*Assumptions!$C$10)</f>
        <v>4.2999999999999997E-2</v>
      </c>
      <c r="D76" s="64">
        <f>('LCOE parameters'!$D$28*Assumptions!$C$10)</f>
        <v>4.2999999999999997E-2</v>
      </c>
      <c r="E76" s="64">
        <f>('LCOE parameters'!$D$28*Assumptions!$C$10)</f>
        <v>4.2999999999999997E-2</v>
      </c>
      <c r="F76" s="64">
        <f>('LCOE parameters'!$D$28*Assumptions!$C$10)</f>
        <v>4.2999999999999997E-2</v>
      </c>
      <c r="G76" s="64">
        <f>('LCOE parameters'!$D$28*Assumptions!$C$10)</f>
        <v>4.2999999999999997E-2</v>
      </c>
      <c r="H76" s="64">
        <f>('LCOE parameters'!$D$28*Assumptions!$C$10)</f>
        <v>4.2999999999999997E-2</v>
      </c>
      <c r="I76" s="64">
        <f>('LCOE parameters'!$D$28*Assumptions!$C$10)</f>
        <v>4.2999999999999997E-2</v>
      </c>
      <c r="J76" s="64">
        <f>('LCOE parameters'!$D$28*Assumptions!$C$10)</f>
        <v>4.2999999999999997E-2</v>
      </c>
      <c r="K76" s="64">
        <f>('LCOE parameters'!$D$28*Assumptions!$C$10)</f>
        <v>4.2999999999999997E-2</v>
      </c>
      <c r="L76" s="64">
        <f>('LCOE parameters'!$D$28*Assumptions!$C$10)</f>
        <v>4.2999999999999997E-2</v>
      </c>
      <c r="M76" s="64">
        <f>('LCOE parameters'!$D$28*Assumptions!$C$10)</f>
        <v>4.2999999999999997E-2</v>
      </c>
      <c r="N76" s="64">
        <f>('LCOE parameters'!$D$28*Assumptions!$C$10)</f>
        <v>4.2999999999999997E-2</v>
      </c>
      <c r="O76" s="64">
        <f>('LCOE parameters'!$D$28*Assumptions!$C$10)</f>
        <v>4.2999999999999997E-2</v>
      </c>
      <c r="P76" s="64">
        <f>('LCOE parameters'!$D$28*Assumptions!$C$10)</f>
        <v>4.2999999999999997E-2</v>
      </c>
      <c r="Q76" s="64">
        <f>('LCOE parameters'!$D$28*Assumptions!$C$10)</f>
        <v>4.2999999999999997E-2</v>
      </c>
      <c r="R76" s="64">
        <f>('LCOE parameters'!$D$28*Assumptions!$C$10)</f>
        <v>4.2999999999999997E-2</v>
      </c>
      <c r="S76" s="64">
        <f>('LCOE parameters'!$D$28*Assumptions!$C$10)</f>
        <v>4.2999999999999997E-2</v>
      </c>
      <c r="T76" s="64">
        <f>('LCOE parameters'!$D$28*Assumptions!$C$10)</f>
        <v>4.2999999999999997E-2</v>
      </c>
      <c r="U76" s="64">
        <f>('LCOE parameters'!$D$28*Assumptions!$C$10)</f>
        <v>4.2999999999999997E-2</v>
      </c>
      <c r="V76" s="64">
        <f>('LCOE parameters'!$D$28*Assumptions!$C$10)</f>
        <v>4.2999999999999997E-2</v>
      </c>
      <c r="W76" s="64">
        <f>('LCOE parameters'!$D$28*Assumptions!$C$10)</f>
        <v>4.2999999999999997E-2</v>
      </c>
      <c r="X76" s="64">
        <f>('LCOE parameters'!$D$28*Assumptions!$C$10)</f>
        <v>4.2999999999999997E-2</v>
      </c>
      <c r="Y76" s="64">
        <f>('LCOE parameters'!$D$28*Assumptions!$C$10)</f>
        <v>4.2999999999999997E-2</v>
      </c>
      <c r="Z76" s="64">
        <f>('LCOE parameters'!$D$28*Assumptions!$C$10)</f>
        <v>4.2999999999999997E-2</v>
      </c>
      <c r="AA76" s="64">
        <f>('LCOE parameters'!$D$28*Assumptions!$C$10)</f>
        <v>4.2999999999999997E-2</v>
      </c>
      <c r="AB76" s="64">
        <f>('LCOE parameters'!$D$28*Assumptions!$C$10)</f>
        <v>4.2999999999999997E-2</v>
      </c>
      <c r="AC76" s="64">
        <f>('LCOE parameters'!$D$28*Assumptions!$C$10)</f>
        <v>4.2999999999999997E-2</v>
      </c>
      <c r="AD76" s="64">
        <f>('LCOE parameters'!$D$28*Assumptions!$C$10)</f>
        <v>4.2999999999999997E-2</v>
      </c>
      <c r="AE76" s="64">
        <f>('LCOE parameters'!$D$28*Assumptions!$C$10)</f>
        <v>4.2999999999999997E-2</v>
      </c>
      <c r="AF76" s="64">
        <f>('LCOE parameters'!$D$28*Assumptions!$C$10)</f>
        <v>4.2999999999999997E-2</v>
      </c>
      <c r="AG76" s="64">
        <f>('LCOE parameters'!$D$28*Assumptions!$C$10)</f>
        <v>4.2999999999999997E-2</v>
      </c>
      <c r="AH76" s="64">
        <f>('LCOE parameters'!$D$28*Assumptions!$C$10)</f>
        <v>4.2999999999999997E-2</v>
      </c>
      <c r="AI76" s="64">
        <f>('LCOE parameters'!$D$28*Assumptions!$C$10)</f>
        <v>4.2999999999999997E-2</v>
      </c>
      <c r="AJ76" s="64">
        <f>('LCOE parameters'!$D$28*Assumptions!$C$10)</f>
        <v>4.2999999999999997E-2</v>
      </c>
      <c r="AK76" s="64">
        <f>('LCOE parameters'!$D$28*Assumptions!$C$10)</f>
        <v>4.2999999999999997E-2</v>
      </c>
      <c r="AL76" s="64">
        <f>('LCOE parameters'!$D$28*Assumptions!$C$10)</f>
        <v>4.2999999999999997E-2</v>
      </c>
      <c r="AM76" s="64">
        <f>('LCOE parameters'!$D$28*Assumptions!$C$10)</f>
        <v>4.2999999999999997E-2</v>
      </c>
      <c r="AN76" s="64">
        <f>('LCOE parameters'!$D$28*Assumptions!$C$10)</f>
        <v>4.2999999999999997E-2</v>
      </c>
      <c r="AO76" s="64">
        <f>('LCOE parameters'!$D$28*Assumptions!$C$10)</f>
        <v>4.2999999999999997E-2</v>
      </c>
      <c r="AP76" s="64">
        <f>('LCOE parameters'!$D$28*Assumptions!$C$10)</f>
        <v>4.2999999999999997E-2</v>
      </c>
    </row>
    <row r="77" spans="1:42">
      <c r="A77" s="64" t="s">
        <v>173</v>
      </c>
      <c r="B77" s="64">
        <f>('LCOE parameters'!$D$29*Assumptions!$C$11)</f>
        <v>4.2999999999999997E-2</v>
      </c>
      <c r="C77" s="64">
        <f>('LCOE parameters'!$D$29*Assumptions!$C$11)</f>
        <v>4.2999999999999997E-2</v>
      </c>
      <c r="D77" s="64">
        <f>('LCOE parameters'!$D$29*Assumptions!$C$11)</f>
        <v>4.2999999999999997E-2</v>
      </c>
      <c r="E77" s="64">
        <f>('LCOE parameters'!$D$29*Assumptions!$C$11)</f>
        <v>4.2999999999999997E-2</v>
      </c>
      <c r="F77" s="64">
        <f>('LCOE parameters'!$D$29*Assumptions!$C$11)</f>
        <v>4.2999999999999997E-2</v>
      </c>
      <c r="G77" s="64">
        <f>('LCOE parameters'!$D$29*Assumptions!$C$11)</f>
        <v>4.2999999999999997E-2</v>
      </c>
      <c r="H77" s="64">
        <f>('LCOE parameters'!$D$29*Assumptions!$C$11)</f>
        <v>4.2999999999999997E-2</v>
      </c>
      <c r="I77" s="64">
        <f>('LCOE parameters'!$D$29*Assumptions!$C$11)</f>
        <v>4.2999999999999997E-2</v>
      </c>
      <c r="J77" s="64">
        <f>('LCOE parameters'!$D$29*Assumptions!$C$11)</f>
        <v>4.2999999999999997E-2</v>
      </c>
      <c r="K77" s="64">
        <f>('LCOE parameters'!$D$29*Assumptions!$C$11)</f>
        <v>4.2999999999999997E-2</v>
      </c>
      <c r="L77" s="64">
        <f>('LCOE parameters'!$D$29*Assumptions!$C$11)</f>
        <v>4.2999999999999997E-2</v>
      </c>
      <c r="M77" s="64">
        <f>('LCOE parameters'!$D$29*Assumptions!$C$11)</f>
        <v>4.2999999999999997E-2</v>
      </c>
      <c r="N77" s="64">
        <f>('LCOE parameters'!$D$29*Assumptions!$C$11)</f>
        <v>4.2999999999999997E-2</v>
      </c>
      <c r="O77" s="64">
        <f>('LCOE parameters'!$D$29*Assumptions!$C$11)</f>
        <v>4.2999999999999997E-2</v>
      </c>
      <c r="P77" s="64">
        <f>('LCOE parameters'!$D$29*Assumptions!$C$11)</f>
        <v>4.2999999999999997E-2</v>
      </c>
      <c r="Q77" s="64">
        <f>('LCOE parameters'!$D$29*Assumptions!$C$11)</f>
        <v>4.2999999999999997E-2</v>
      </c>
      <c r="R77" s="64">
        <f>('LCOE parameters'!$D$29*Assumptions!$C$11)</f>
        <v>4.2999999999999997E-2</v>
      </c>
      <c r="S77" s="64">
        <f>('LCOE parameters'!$D$29*Assumptions!$C$11)</f>
        <v>4.2999999999999997E-2</v>
      </c>
      <c r="T77" s="64">
        <f>('LCOE parameters'!$D$29*Assumptions!$C$11)</f>
        <v>4.2999999999999997E-2</v>
      </c>
      <c r="U77" s="64">
        <f>('LCOE parameters'!$D$29*Assumptions!$C$11)</f>
        <v>4.2999999999999997E-2</v>
      </c>
      <c r="V77" s="64">
        <f>('LCOE parameters'!$D$29*Assumptions!$C$11)</f>
        <v>4.2999999999999997E-2</v>
      </c>
      <c r="W77" s="64">
        <f>('LCOE parameters'!$D$29*Assumptions!$C$11)</f>
        <v>4.2999999999999997E-2</v>
      </c>
      <c r="X77" s="64">
        <f>('LCOE parameters'!$D$29*Assumptions!$C$11)</f>
        <v>4.2999999999999997E-2</v>
      </c>
      <c r="Y77" s="64">
        <f>('LCOE parameters'!$D$29*Assumptions!$C$11)</f>
        <v>4.2999999999999997E-2</v>
      </c>
      <c r="Z77" s="64">
        <f>('LCOE parameters'!$D$29*Assumptions!$C$11)</f>
        <v>4.2999999999999997E-2</v>
      </c>
      <c r="AA77" s="64">
        <f>('LCOE parameters'!$D$29*Assumptions!$C$11)</f>
        <v>4.2999999999999997E-2</v>
      </c>
      <c r="AB77" s="64">
        <f>('LCOE parameters'!$D$29*Assumptions!$C$11)</f>
        <v>4.2999999999999997E-2</v>
      </c>
      <c r="AC77" s="64">
        <f>('LCOE parameters'!$D$29*Assumptions!$C$11)</f>
        <v>4.2999999999999997E-2</v>
      </c>
      <c r="AD77" s="64">
        <f>('LCOE parameters'!$D$29*Assumptions!$C$11)</f>
        <v>4.2999999999999997E-2</v>
      </c>
      <c r="AE77" s="64">
        <f>('LCOE parameters'!$D$29*Assumptions!$C$11)</f>
        <v>4.2999999999999997E-2</v>
      </c>
      <c r="AF77" s="64">
        <f>('LCOE parameters'!$D$29*Assumptions!$C$11)</f>
        <v>4.2999999999999997E-2</v>
      </c>
      <c r="AG77" s="64">
        <f>('LCOE parameters'!$D$29*Assumptions!$C$11)</f>
        <v>4.2999999999999997E-2</v>
      </c>
      <c r="AH77" s="64">
        <f>('LCOE parameters'!$D$29*Assumptions!$C$11)</f>
        <v>4.2999999999999997E-2</v>
      </c>
      <c r="AI77" s="64">
        <f>('LCOE parameters'!$D$29*Assumptions!$C$11)</f>
        <v>4.2999999999999997E-2</v>
      </c>
      <c r="AJ77" s="64">
        <f>('LCOE parameters'!$D$29*Assumptions!$C$11)</f>
        <v>4.2999999999999997E-2</v>
      </c>
      <c r="AK77" s="64">
        <f>('LCOE parameters'!$D$29*Assumptions!$C$11)</f>
        <v>4.2999999999999997E-2</v>
      </c>
      <c r="AL77" s="64">
        <f>('LCOE parameters'!$D$29*Assumptions!$C$11)</f>
        <v>4.2999999999999997E-2</v>
      </c>
      <c r="AM77" s="64">
        <f>('LCOE parameters'!$D$29*Assumptions!$C$11)</f>
        <v>4.2999999999999997E-2</v>
      </c>
      <c r="AN77" s="64">
        <f>('LCOE parameters'!$D$29*Assumptions!$C$11)</f>
        <v>4.2999999999999997E-2</v>
      </c>
      <c r="AO77" s="64">
        <f>('LCOE parameters'!$D$29*Assumptions!$C$11)</f>
        <v>4.2999999999999997E-2</v>
      </c>
      <c r="AP77" s="64">
        <f>('LCOE parameters'!$D$29*Assumptions!$C$11)</f>
        <v>4.2999999999999997E-2</v>
      </c>
    </row>
    <row r="78" spans="1:42">
      <c r="A78" s="58" t="s">
        <v>151</v>
      </c>
      <c r="B78" s="58">
        <f>'LCOE parameters'!$D$42</f>
        <v>40</v>
      </c>
      <c r="C78" s="58">
        <f>'LCOE parameters'!$D$42</f>
        <v>40</v>
      </c>
      <c r="D78" s="58">
        <f>'LCOE parameters'!$D$42</f>
        <v>40</v>
      </c>
      <c r="E78" s="58">
        <f>'LCOE parameters'!$D$42</f>
        <v>40</v>
      </c>
      <c r="F78" s="58">
        <f>'LCOE parameters'!$D$42</f>
        <v>40</v>
      </c>
      <c r="G78" s="58">
        <f>'LCOE parameters'!$D$42</f>
        <v>40</v>
      </c>
      <c r="H78" s="58">
        <f>'LCOE parameters'!$D$42</f>
        <v>40</v>
      </c>
      <c r="I78" s="58">
        <f>'LCOE parameters'!$D$42</f>
        <v>40</v>
      </c>
      <c r="J78" s="58">
        <f>'LCOE parameters'!$D$42</f>
        <v>40</v>
      </c>
      <c r="K78" s="58">
        <f>'LCOE parameters'!$D$42</f>
        <v>40</v>
      </c>
      <c r="L78" s="58">
        <f>'LCOE parameters'!$D$42</f>
        <v>40</v>
      </c>
      <c r="M78" s="58">
        <f>'LCOE parameters'!$D$42</f>
        <v>40</v>
      </c>
      <c r="N78" s="58">
        <f>'LCOE parameters'!$D$42</f>
        <v>40</v>
      </c>
      <c r="O78" s="58">
        <f>'LCOE parameters'!$D$42</f>
        <v>40</v>
      </c>
      <c r="P78" s="58">
        <f>'LCOE parameters'!$D$42</f>
        <v>40</v>
      </c>
      <c r="Q78" s="58">
        <f>'LCOE parameters'!$D$42</f>
        <v>40</v>
      </c>
      <c r="R78" s="58">
        <f>'LCOE parameters'!$D$42</f>
        <v>40</v>
      </c>
      <c r="S78" s="58">
        <f>'LCOE parameters'!$D$42</f>
        <v>40</v>
      </c>
      <c r="T78" s="58">
        <f>'LCOE parameters'!$D$42</f>
        <v>40</v>
      </c>
      <c r="U78" s="58">
        <f>'LCOE parameters'!$D$42</f>
        <v>40</v>
      </c>
      <c r="V78" s="58">
        <f>'LCOE parameters'!$D$42</f>
        <v>40</v>
      </c>
      <c r="W78" s="58">
        <f>'LCOE parameters'!$D$42</f>
        <v>40</v>
      </c>
      <c r="X78" s="58">
        <f>'LCOE parameters'!$D$42</f>
        <v>40</v>
      </c>
      <c r="Y78" s="58">
        <f>'LCOE parameters'!$D$42</f>
        <v>40</v>
      </c>
      <c r="Z78" s="58">
        <f>'LCOE parameters'!$D$42</f>
        <v>40</v>
      </c>
      <c r="AA78" s="58">
        <f>'LCOE parameters'!$D$42</f>
        <v>40</v>
      </c>
      <c r="AB78" s="58">
        <f>'LCOE parameters'!$D$42</f>
        <v>40</v>
      </c>
      <c r="AC78" s="58">
        <f>'LCOE parameters'!$D$42</f>
        <v>40</v>
      </c>
      <c r="AD78" s="58">
        <f>'LCOE parameters'!$D$42</f>
        <v>40</v>
      </c>
      <c r="AE78" s="58">
        <f>'LCOE parameters'!$D$42</f>
        <v>40</v>
      </c>
      <c r="AF78" s="58">
        <f>'LCOE parameters'!$D$42</f>
        <v>40</v>
      </c>
      <c r="AG78" s="58">
        <f>'LCOE parameters'!$D$42</f>
        <v>40</v>
      </c>
      <c r="AH78" s="58">
        <f>'LCOE parameters'!$D$42</f>
        <v>40</v>
      </c>
      <c r="AI78" s="58">
        <f>'LCOE parameters'!$D$42</f>
        <v>40</v>
      </c>
      <c r="AJ78" s="58">
        <f>'LCOE parameters'!$D$42</f>
        <v>40</v>
      </c>
      <c r="AK78" s="58">
        <f>'LCOE parameters'!$D$42</f>
        <v>40</v>
      </c>
      <c r="AL78" s="58">
        <f>'LCOE parameters'!$D$42</f>
        <v>40</v>
      </c>
      <c r="AM78" s="58">
        <f>'LCOE parameters'!$D$42</f>
        <v>40</v>
      </c>
      <c r="AN78" s="58">
        <f>'LCOE parameters'!$D$42</f>
        <v>40</v>
      </c>
      <c r="AO78" s="58">
        <f>'LCOE parameters'!$D$42</f>
        <v>40</v>
      </c>
      <c r="AP78" s="58">
        <f>'LCOE parameters'!$D$42</f>
        <v>40</v>
      </c>
    </row>
    <row r="79" spans="1:42">
      <c r="A79" s="58" t="s">
        <v>160</v>
      </c>
      <c r="B79" s="58">
        <f>SUM(B65:B69,B71:B72,B74)/((1+B77)^B63)</f>
        <v>524209.58493364078</v>
      </c>
      <c r="C79" s="58">
        <f t="shared" ref="C79:AP79" si="12">SUM(C65:C69,C71:C72,C74)/((1+C77)^C63)</f>
        <v>449117.929050815</v>
      </c>
      <c r="D79" s="58">
        <f t="shared" si="12"/>
        <v>425107.71255937184</v>
      </c>
      <c r="E79" s="58">
        <f t="shared" si="12"/>
        <v>402313.88671408867</v>
      </c>
      <c r="F79" s="58">
        <f t="shared" si="12"/>
        <v>380676.96447412932</v>
      </c>
      <c r="G79" s="58">
        <f t="shared" si="12"/>
        <v>360140.29629015154</v>
      </c>
      <c r="H79" s="58">
        <f t="shared" si="12"/>
        <v>340649.9372496797</v>
      </c>
      <c r="I79" s="58">
        <f t="shared" si="12"/>
        <v>322154.52035409363</v>
      </c>
      <c r="J79" s="58">
        <f t="shared" si="12"/>
        <v>304605.13564746536</v>
      </c>
      <c r="K79" s="58">
        <f t="shared" si="12"/>
        <v>287955.21493012272</v>
      </c>
      <c r="L79" s="58">
        <f t="shared" si="12"/>
        <v>272160.42180189589</v>
      </c>
      <c r="M79" s="58">
        <f t="shared" si="12"/>
        <v>257178.546791542</v>
      </c>
      <c r="N79" s="58">
        <f t="shared" si="12"/>
        <v>242969.40733986121</v>
      </c>
      <c r="O79" s="58">
        <f t="shared" si="12"/>
        <v>229494.75241454327</v>
      </c>
      <c r="P79" s="58">
        <f t="shared" si="12"/>
        <v>216718.17154483392</v>
      </c>
      <c r="Q79" s="58">
        <f t="shared" si="12"/>
        <v>204605.00807371276</v>
      </c>
      <c r="R79" s="58">
        <f t="shared" si="12"/>
        <v>193122.27643444159</v>
      </c>
      <c r="S79" s="58">
        <f t="shared" si="12"/>
        <v>182238.58326710085</v>
      </c>
      <c r="T79" s="58">
        <f t="shared" si="12"/>
        <v>171924.05219909272</v>
      </c>
      <c r="U79" s="58">
        <f t="shared" si="12"/>
        <v>162150.25212157803</v>
      </c>
      <c r="V79" s="58">
        <f t="shared" si="12"/>
        <v>152890.12880144123</v>
      </c>
      <c r="W79" s="58">
        <f t="shared" si="12"/>
        <v>144117.93967566121</v>
      </c>
      <c r="X79" s="58">
        <f t="shared" si="12"/>
        <v>135809.19168192282</v>
      </c>
      <c r="Y79" s="58">
        <f t="shared" si="12"/>
        <v>127940.58198594642</v>
      </c>
      <c r="Z79" s="58">
        <f t="shared" si="12"/>
        <v>120489.94147235634</v>
      </c>
      <c r="AA79" s="58">
        <f t="shared" si="12"/>
        <v>113436.18087196746</v>
      </c>
      <c r="AB79" s="58">
        <f t="shared" si="12"/>
        <v>106759.23940415238</v>
      </c>
      <c r="AC79" s="58">
        <f t="shared" si="12"/>
        <v>100440.03581847703</v>
      </c>
      <c r="AD79" s="58">
        <f t="shared" si="12"/>
        <v>94460.421725065433</v>
      </c>
      <c r="AE79" s="58">
        <f t="shared" si="12"/>
        <v>88803.137108191891</v>
      </c>
      <c r="AF79" s="58">
        <f t="shared" si="12"/>
        <v>83451.767922407307</v>
      </c>
      <c r="AG79" s="58">
        <f t="shared" si="12"/>
        <v>78390.70567509807</v>
      </c>
      <c r="AH79" s="58">
        <f t="shared" si="12"/>
        <v>73605.108903760774</v>
      </c>
      <c r="AI79" s="58">
        <f t="shared" si="12"/>
        <v>69080.866460461795</v>
      </c>
      <c r="AJ79" s="58">
        <f t="shared" si="12"/>
        <v>64804.562519947656</v>
      </c>
      <c r="AK79" s="58">
        <f t="shared" si="12"/>
        <v>60763.443231688419</v>
      </c>
      <c r="AL79" s="58">
        <f t="shared" si="12"/>
        <v>56945.384939779673</v>
      </c>
      <c r="AM79" s="58">
        <f t="shared" si="12"/>
        <v>53338.863898107171</v>
      </c>
      <c r="AN79" s="58">
        <f t="shared" si="12"/>
        <v>49932.927411499091</v>
      </c>
      <c r="AO79" s="58">
        <f t="shared" si="12"/>
        <v>46717.166336761766</v>
      </c>
      <c r="AP79" s="58">
        <f t="shared" si="12"/>
        <v>43681.68888052104</v>
      </c>
    </row>
    <row r="80" spans="1:42">
      <c r="A80" s="58" t="s">
        <v>159</v>
      </c>
      <c r="B80" s="58">
        <f>SUM(B65:B69,B71:B72)/((1+B77)^B63)</f>
        <v>122083.05983550705</v>
      </c>
      <c r="C80" s="58">
        <f t="shared" ref="C80:AP80" si="13">SUM(C65:C69,C71:C72)/((1+C77)^C63)</f>
        <v>449117.929050815</v>
      </c>
      <c r="D80" s="58">
        <f t="shared" si="13"/>
        <v>425107.71255937184</v>
      </c>
      <c r="E80" s="58">
        <f t="shared" si="13"/>
        <v>402313.88671408867</v>
      </c>
      <c r="F80" s="58">
        <f t="shared" si="13"/>
        <v>380676.96447412932</v>
      </c>
      <c r="G80" s="58">
        <f t="shared" si="13"/>
        <v>360140.29629015154</v>
      </c>
      <c r="H80" s="58">
        <f t="shared" si="13"/>
        <v>340649.9372496797</v>
      </c>
      <c r="I80" s="58">
        <f t="shared" si="13"/>
        <v>322154.52035409363</v>
      </c>
      <c r="J80" s="58">
        <f t="shared" si="13"/>
        <v>304605.13564746536</v>
      </c>
      <c r="K80" s="58">
        <f t="shared" si="13"/>
        <v>287955.21493012272</v>
      </c>
      <c r="L80" s="58">
        <f t="shared" si="13"/>
        <v>272160.42180189589</v>
      </c>
      <c r="M80" s="58">
        <f t="shared" si="13"/>
        <v>257178.546791542</v>
      </c>
      <c r="N80" s="58">
        <f t="shared" si="13"/>
        <v>242969.40733986121</v>
      </c>
      <c r="O80" s="58">
        <f t="shared" si="13"/>
        <v>229494.75241454327</v>
      </c>
      <c r="P80" s="58">
        <f t="shared" si="13"/>
        <v>216718.17154483392</v>
      </c>
      <c r="Q80" s="58">
        <f t="shared" si="13"/>
        <v>204605.00807371276</v>
      </c>
      <c r="R80" s="58">
        <f t="shared" si="13"/>
        <v>193122.27643444159</v>
      </c>
      <c r="S80" s="58">
        <f t="shared" si="13"/>
        <v>182238.58326710085</v>
      </c>
      <c r="T80" s="58">
        <f t="shared" si="13"/>
        <v>171924.05219909272</v>
      </c>
      <c r="U80" s="58">
        <f t="shared" si="13"/>
        <v>162150.25212157803</v>
      </c>
      <c r="V80" s="58">
        <f t="shared" si="13"/>
        <v>152890.12880144123</v>
      </c>
      <c r="W80" s="58">
        <f t="shared" si="13"/>
        <v>144117.93967566121</v>
      </c>
      <c r="X80" s="58">
        <f t="shared" si="13"/>
        <v>135809.19168192282</v>
      </c>
      <c r="Y80" s="58">
        <f t="shared" si="13"/>
        <v>127940.58198594642</v>
      </c>
      <c r="Z80" s="58">
        <f t="shared" si="13"/>
        <v>120489.94147235634</v>
      </c>
      <c r="AA80" s="58">
        <f t="shared" si="13"/>
        <v>113436.18087196746</v>
      </c>
      <c r="AB80" s="58">
        <f t="shared" si="13"/>
        <v>106759.23940415238</v>
      </c>
      <c r="AC80" s="58">
        <f t="shared" si="13"/>
        <v>100440.03581847703</v>
      </c>
      <c r="AD80" s="58">
        <f t="shared" si="13"/>
        <v>94460.421725065433</v>
      </c>
      <c r="AE80" s="58">
        <f t="shared" si="13"/>
        <v>88803.137108191891</v>
      </c>
      <c r="AF80" s="58">
        <f t="shared" si="13"/>
        <v>83451.767922407307</v>
      </c>
      <c r="AG80" s="58">
        <f t="shared" si="13"/>
        <v>78390.70567509807</v>
      </c>
      <c r="AH80" s="58">
        <f t="shared" si="13"/>
        <v>73605.108903760774</v>
      </c>
      <c r="AI80" s="58">
        <f t="shared" si="13"/>
        <v>69080.866460461795</v>
      </c>
      <c r="AJ80" s="58">
        <f t="shared" si="13"/>
        <v>64804.562519947656</v>
      </c>
      <c r="AK80" s="58">
        <f t="shared" si="13"/>
        <v>60763.443231688419</v>
      </c>
      <c r="AL80" s="58">
        <f t="shared" si="13"/>
        <v>56945.384939779673</v>
      </c>
      <c r="AM80" s="58">
        <f t="shared" si="13"/>
        <v>53338.863898107171</v>
      </c>
      <c r="AN80" s="58">
        <f t="shared" si="13"/>
        <v>49932.927411499091</v>
      </c>
      <c r="AO80" s="58">
        <f t="shared" si="13"/>
        <v>46717.166336761766</v>
      </c>
      <c r="AP80" s="58">
        <f t="shared" si="13"/>
        <v>43681.68888052104</v>
      </c>
    </row>
    <row r="81" spans="1:42">
      <c r="A81" s="58" t="s">
        <v>162</v>
      </c>
      <c r="B81" s="58">
        <f>SUM(B65:B72,B74)/((1+B77)^B63)</f>
        <v>524209.58493364078</v>
      </c>
      <c r="C81" s="58">
        <f t="shared" ref="C81:AP81" si="14">SUM(C65:C72,C74)/((1+C77)^C63)</f>
        <v>449117.929050815</v>
      </c>
      <c r="D81" s="58">
        <f t="shared" si="14"/>
        <v>425107.71255937184</v>
      </c>
      <c r="E81" s="58">
        <f t="shared" si="14"/>
        <v>402313.88671408867</v>
      </c>
      <c r="F81" s="58">
        <f t="shared" si="14"/>
        <v>380676.96447412932</v>
      </c>
      <c r="G81" s="58">
        <f t="shared" si="14"/>
        <v>360140.29629015154</v>
      </c>
      <c r="H81" s="58">
        <f t="shared" si="14"/>
        <v>340649.9372496797</v>
      </c>
      <c r="I81" s="58">
        <f t="shared" si="14"/>
        <v>322154.52035409363</v>
      </c>
      <c r="J81" s="58">
        <f t="shared" si="14"/>
        <v>304605.13564746536</v>
      </c>
      <c r="K81" s="58">
        <f t="shared" si="14"/>
        <v>287955.21493012272</v>
      </c>
      <c r="L81" s="58">
        <f t="shared" si="14"/>
        <v>272160.42180189589</v>
      </c>
      <c r="M81" s="58">
        <f t="shared" si="14"/>
        <v>257178.546791542</v>
      </c>
      <c r="N81" s="58">
        <f t="shared" si="14"/>
        <v>242969.40733986121</v>
      </c>
      <c r="O81" s="58">
        <f t="shared" si="14"/>
        <v>229494.75241454327</v>
      </c>
      <c r="P81" s="58">
        <f t="shared" si="14"/>
        <v>216718.17154483392</v>
      </c>
      <c r="Q81" s="58">
        <f t="shared" si="14"/>
        <v>204605.00807371276</v>
      </c>
      <c r="R81" s="58">
        <f t="shared" si="14"/>
        <v>193122.27643444159</v>
      </c>
      <c r="S81" s="58">
        <f t="shared" si="14"/>
        <v>182238.58326710085</v>
      </c>
      <c r="T81" s="58">
        <f t="shared" si="14"/>
        <v>171924.05219909272</v>
      </c>
      <c r="U81" s="58">
        <f t="shared" si="14"/>
        <v>162150.25212157803</v>
      </c>
      <c r="V81" s="58">
        <f t="shared" si="14"/>
        <v>152890.12880144123</v>
      </c>
      <c r="W81" s="58">
        <f t="shared" si="14"/>
        <v>144117.93967566121</v>
      </c>
      <c r="X81" s="58">
        <f t="shared" si="14"/>
        <v>135809.19168192282</v>
      </c>
      <c r="Y81" s="58">
        <f t="shared" si="14"/>
        <v>127940.58198594642</v>
      </c>
      <c r="Z81" s="58">
        <f t="shared" si="14"/>
        <v>120489.94147235634</v>
      </c>
      <c r="AA81" s="58">
        <f t="shared" si="14"/>
        <v>113436.18087196746</v>
      </c>
      <c r="AB81" s="58">
        <f t="shared" si="14"/>
        <v>106759.23940415238</v>
      </c>
      <c r="AC81" s="58">
        <f t="shared" si="14"/>
        <v>100440.03581847703</v>
      </c>
      <c r="AD81" s="58">
        <f t="shared" si="14"/>
        <v>94460.421725065433</v>
      </c>
      <c r="AE81" s="58">
        <f t="shared" si="14"/>
        <v>88803.137108191891</v>
      </c>
      <c r="AF81" s="58">
        <f t="shared" si="14"/>
        <v>83451.767922407307</v>
      </c>
      <c r="AG81" s="58">
        <f t="shared" si="14"/>
        <v>78390.70567509807</v>
      </c>
      <c r="AH81" s="58">
        <f t="shared" si="14"/>
        <v>73605.108903760774</v>
      </c>
      <c r="AI81" s="58">
        <f t="shared" si="14"/>
        <v>69080.866460461795</v>
      </c>
      <c r="AJ81" s="58">
        <f t="shared" si="14"/>
        <v>64804.562519947656</v>
      </c>
      <c r="AK81" s="58">
        <f t="shared" si="14"/>
        <v>60763.443231688419</v>
      </c>
      <c r="AL81" s="58">
        <f t="shared" si="14"/>
        <v>56945.384939779673</v>
      </c>
      <c r="AM81" s="58">
        <f t="shared" si="14"/>
        <v>53338.863898107171</v>
      </c>
      <c r="AN81" s="58">
        <f t="shared" si="14"/>
        <v>49932.927411499091</v>
      </c>
      <c r="AO81" s="58">
        <f t="shared" si="14"/>
        <v>46717.166336761766</v>
      </c>
      <c r="AP81" s="58">
        <f t="shared" si="14"/>
        <v>43681.68888052104</v>
      </c>
    </row>
    <row r="82" spans="1:42">
      <c r="A82" s="58" t="s">
        <v>161</v>
      </c>
      <c r="B82" s="58">
        <f>SUM(B65:B72)/((1+B77)^B63)</f>
        <v>122083.05983550705</v>
      </c>
      <c r="C82" s="58">
        <f t="shared" ref="C82:AP82" si="15">SUM(C65:C72)/((1+C77)^C63)</f>
        <v>449117.929050815</v>
      </c>
      <c r="D82" s="58">
        <f t="shared" si="15"/>
        <v>425107.71255937184</v>
      </c>
      <c r="E82" s="58">
        <f t="shared" si="15"/>
        <v>402313.88671408867</v>
      </c>
      <c r="F82" s="58">
        <f t="shared" si="15"/>
        <v>380676.96447412932</v>
      </c>
      <c r="G82" s="58">
        <f t="shared" si="15"/>
        <v>360140.29629015154</v>
      </c>
      <c r="H82" s="58">
        <f t="shared" si="15"/>
        <v>340649.9372496797</v>
      </c>
      <c r="I82" s="58">
        <f t="shared" si="15"/>
        <v>322154.52035409363</v>
      </c>
      <c r="J82" s="58">
        <f t="shared" si="15"/>
        <v>304605.13564746536</v>
      </c>
      <c r="K82" s="58">
        <f t="shared" si="15"/>
        <v>287955.21493012272</v>
      </c>
      <c r="L82" s="58">
        <f t="shared" si="15"/>
        <v>272160.42180189589</v>
      </c>
      <c r="M82" s="58">
        <f t="shared" si="15"/>
        <v>257178.546791542</v>
      </c>
      <c r="N82" s="58">
        <f t="shared" si="15"/>
        <v>242969.40733986121</v>
      </c>
      <c r="O82" s="58">
        <f t="shared" si="15"/>
        <v>229494.75241454327</v>
      </c>
      <c r="P82" s="58">
        <f t="shared" si="15"/>
        <v>216718.17154483392</v>
      </c>
      <c r="Q82" s="58">
        <f t="shared" si="15"/>
        <v>204605.00807371276</v>
      </c>
      <c r="R82" s="58">
        <f t="shared" si="15"/>
        <v>193122.27643444159</v>
      </c>
      <c r="S82" s="58">
        <f t="shared" si="15"/>
        <v>182238.58326710085</v>
      </c>
      <c r="T82" s="58">
        <f t="shared" si="15"/>
        <v>171924.05219909272</v>
      </c>
      <c r="U82" s="58">
        <f t="shared" si="15"/>
        <v>162150.25212157803</v>
      </c>
      <c r="V82" s="58">
        <f t="shared" si="15"/>
        <v>152890.12880144123</v>
      </c>
      <c r="W82" s="58">
        <f t="shared" si="15"/>
        <v>144117.93967566121</v>
      </c>
      <c r="X82" s="58">
        <f t="shared" si="15"/>
        <v>135809.19168192282</v>
      </c>
      <c r="Y82" s="58">
        <f t="shared" si="15"/>
        <v>127940.58198594642</v>
      </c>
      <c r="Z82" s="58">
        <f t="shared" si="15"/>
        <v>120489.94147235634</v>
      </c>
      <c r="AA82" s="58">
        <f t="shared" si="15"/>
        <v>113436.18087196746</v>
      </c>
      <c r="AB82" s="58">
        <f t="shared" si="15"/>
        <v>106759.23940415238</v>
      </c>
      <c r="AC82" s="58">
        <f t="shared" si="15"/>
        <v>100440.03581847703</v>
      </c>
      <c r="AD82" s="58">
        <f t="shared" si="15"/>
        <v>94460.421725065433</v>
      </c>
      <c r="AE82" s="58">
        <f t="shared" si="15"/>
        <v>88803.137108191891</v>
      </c>
      <c r="AF82" s="58">
        <f t="shared" si="15"/>
        <v>83451.767922407307</v>
      </c>
      <c r="AG82" s="58">
        <f t="shared" si="15"/>
        <v>78390.70567509807</v>
      </c>
      <c r="AH82" s="58">
        <f t="shared" si="15"/>
        <v>73605.108903760774</v>
      </c>
      <c r="AI82" s="58">
        <f t="shared" si="15"/>
        <v>69080.866460461795</v>
      </c>
      <c r="AJ82" s="58">
        <f t="shared" si="15"/>
        <v>64804.562519947656</v>
      </c>
      <c r="AK82" s="58">
        <f t="shared" si="15"/>
        <v>60763.443231688419</v>
      </c>
      <c r="AL82" s="58">
        <f t="shared" si="15"/>
        <v>56945.384939779673</v>
      </c>
      <c r="AM82" s="58">
        <f t="shared" si="15"/>
        <v>53338.863898107171</v>
      </c>
      <c r="AN82" s="58">
        <f t="shared" si="15"/>
        <v>49932.927411499091</v>
      </c>
      <c r="AO82" s="58">
        <f t="shared" si="15"/>
        <v>46717.166336761766</v>
      </c>
      <c r="AP82" s="58">
        <f t="shared" si="15"/>
        <v>43681.68888052104</v>
      </c>
    </row>
    <row r="83" spans="1:42">
      <c r="A83" s="58" t="s">
        <v>163</v>
      </c>
      <c r="B83" s="58">
        <f>B75/((1+B77)^B63)</f>
        <v>0</v>
      </c>
      <c r="C83" s="58">
        <f t="shared" ref="C83:AP83" si="16">C75/((1+C77)^C63)</f>
        <v>16778.523489932886</v>
      </c>
      <c r="D83" s="58">
        <f t="shared" si="16"/>
        <v>16086.791457270267</v>
      </c>
      <c r="E83" s="58">
        <f t="shared" si="16"/>
        <v>15423.577619626336</v>
      </c>
      <c r="F83" s="58">
        <f t="shared" si="16"/>
        <v>14787.706250840209</v>
      </c>
      <c r="G83" s="58">
        <f t="shared" si="16"/>
        <v>14178.050096682846</v>
      </c>
      <c r="H83" s="58">
        <f t="shared" si="16"/>
        <v>13593.528376493621</v>
      </c>
      <c r="I83" s="58">
        <f t="shared" si="16"/>
        <v>13033.104867203858</v>
      </c>
      <c r="J83" s="58">
        <f t="shared" si="16"/>
        <v>12495.786066350774</v>
      </c>
      <c r="K83" s="58">
        <f t="shared" si="16"/>
        <v>11980.619430825289</v>
      </c>
      <c r="L83" s="58">
        <f t="shared" si="16"/>
        <v>11486.691688231342</v>
      </c>
      <c r="M83" s="58">
        <f t="shared" si="16"/>
        <v>11013.127217863224</v>
      </c>
      <c r="N83" s="58">
        <f t="shared" si="16"/>
        <v>10559.086498430705</v>
      </c>
      <c r="O83" s="58">
        <f t="shared" si="16"/>
        <v>10123.764619780159</v>
      </c>
      <c r="P83" s="58">
        <f t="shared" si="16"/>
        <v>9706.3898559733061</v>
      </c>
      <c r="Q83" s="58">
        <f t="shared" si="16"/>
        <v>9306.2222971939682</v>
      </c>
      <c r="R83" s="58">
        <f t="shared" si="16"/>
        <v>8922.5525380574945</v>
      </c>
      <c r="S83" s="58">
        <f t="shared" si="16"/>
        <v>8554.7004199975981</v>
      </c>
      <c r="T83" s="58">
        <f t="shared" si="16"/>
        <v>8202.0138255010552</v>
      </c>
      <c r="U83" s="58">
        <f t="shared" si="16"/>
        <v>7863.8675220527857</v>
      </c>
      <c r="V83" s="58">
        <f t="shared" si="16"/>
        <v>7539.6620537418848</v>
      </c>
      <c r="W83" s="58">
        <f t="shared" si="16"/>
        <v>7228.822678563648</v>
      </c>
      <c r="X83" s="58">
        <f t="shared" si="16"/>
        <v>6930.7983495336994</v>
      </c>
      <c r="Y83" s="58">
        <f t="shared" si="16"/>
        <v>6645.0607378079594</v>
      </c>
      <c r="Z83" s="58">
        <f t="shared" si="16"/>
        <v>6371.1032960766615</v>
      </c>
      <c r="AA83" s="58">
        <f t="shared" si="16"/>
        <v>6108.4403605720636</v>
      </c>
      <c r="AB83" s="58">
        <f t="shared" si="16"/>
        <v>5856.6062900978559</v>
      </c>
      <c r="AC83" s="58">
        <f t="shared" si="16"/>
        <v>5615.1546405540339</v>
      </c>
      <c r="AD83" s="58">
        <f t="shared" si="16"/>
        <v>5383.6573734938011</v>
      </c>
      <c r="AE83" s="58">
        <f t="shared" si="16"/>
        <v>5161.7040973094927</v>
      </c>
      <c r="AF83" s="58">
        <f t="shared" si="16"/>
        <v>4948.9013397022945</v>
      </c>
      <c r="AG83" s="58">
        <f t="shared" si="16"/>
        <v>4744.8718501460162</v>
      </c>
      <c r="AH83" s="58">
        <f t="shared" si="16"/>
        <v>4549.2539311083565</v>
      </c>
      <c r="AI83" s="58">
        <f t="shared" si="16"/>
        <v>4361.700796844063</v>
      </c>
      <c r="AJ83" s="58">
        <f t="shared" si="16"/>
        <v>4181.8799586232626</v>
      </c>
      <c r="AK83" s="58">
        <f t="shared" si="16"/>
        <v>4009.4726353051419</v>
      </c>
      <c r="AL83" s="58">
        <f t="shared" si="16"/>
        <v>3844.1731882120248</v>
      </c>
      <c r="AM83" s="58">
        <f t="shared" si="16"/>
        <v>3685.6885793020374</v>
      </c>
      <c r="AN83" s="58">
        <f t="shared" si="16"/>
        <v>3533.7378516798058</v>
      </c>
      <c r="AO83" s="58">
        <f t="shared" si="16"/>
        <v>3388.0516315242635</v>
      </c>
      <c r="AP83" s="58">
        <f t="shared" si="16"/>
        <v>3248.3716505505881</v>
      </c>
    </row>
    <row r="86" spans="1:42">
      <c r="B86" s="72" t="s">
        <v>212</v>
      </c>
    </row>
    <row r="87" spans="1:42">
      <c r="B87" s="58" t="s">
        <v>168</v>
      </c>
      <c r="C87" s="58" t="s">
        <v>169</v>
      </c>
    </row>
    <row r="88" spans="1:42">
      <c r="A88" s="58" t="s">
        <v>269</v>
      </c>
      <c r="B88" s="58">
        <v>-0.5</v>
      </c>
      <c r="C88" s="58">
        <v>1</v>
      </c>
      <c r="D88" s="58">
        <v>2</v>
      </c>
      <c r="E88" s="58">
        <v>3</v>
      </c>
      <c r="F88" s="58">
        <v>4</v>
      </c>
      <c r="G88" s="58">
        <v>5</v>
      </c>
      <c r="H88" s="58">
        <v>6</v>
      </c>
      <c r="I88" s="58">
        <v>7</v>
      </c>
      <c r="J88" s="58">
        <v>8</v>
      </c>
      <c r="K88" s="58">
        <v>9</v>
      </c>
      <c r="L88" s="58">
        <v>10</v>
      </c>
      <c r="M88" s="58">
        <v>11</v>
      </c>
      <c r="N88" s="58">
        <v>12</v>
      </c>
      <c r="O88" s="58">
        <v>13</v>
      </c>
      <c r="P88" s="58">
        <v>14</v>
      </c>
      <c r="Q88" s="58">
        <v>15</v>
      </c>
      <c r="R88" s="58">
        <v>16</v>
      </c>
      <c r="S88" s="58">
        <v>17</v>
      </c>
      <c r="T88" s="58">
        <v>18</v>
      </c>
      <c r="U88" s="58">
        <v>19</v>
      </c>
      <c r="V88" s="58">
        <v>20</v>
      </c>
      <c r="W88" s="58">
        <v>21</v>
      </c>
      <c r="X88" s="58">
        <v>22</v>
      </c>
      <c r="Y88" s="58">
        <v>23</v>
      </c>
      <c r="Z88" s="58">
        <v>24</v>
      </c>
      <c r="AA88" s="58">
        <v>25</v>
      </c>
    </row>
    <row r="89" spans="1:42">
      <c r="A89" s="58" t="s">
        <v>167</v>
      </c>
      <c r="B89" s="58">
        <f>('LCOE parameters'!$E$27*Assumptions!$C$9)*('LCOE parameters'!$E$23*Assumptions!$C$4)</f>
        <v>5560000</v>
      </c>
    </row>
    <row r="90" spans="1:42">
      <c r="A90" s="58" t="s">
        <v>170</v>
      </c>
      <c r="C90" s="58">
        <f>('LCOE parameters'!$E$27*Assumptions!$C$9)*('LCOE parameters'!$E$23*Assumptions!$C$4)/C103</f>
        <v>222400</v>
      </c>
      <c r="D90" s="58">
        <f>('LCOE parameters'!$E$27*Assumptions!$C$9)*('LCOE parameters'!$E$23*Assumptions!$C$4)/D103</f>
        <v>222400</v>
      </c>
      <c r="E90" s="58">
        <f>('LCOE parameters'!$E$27*Assumptions!$C$9)*('LCOE parameters'!$E$23*Assumptions!$C$4)/E103</f>
        <v>222400</v>
      </c>
      <c r="F90" s="58">
        <f>('LCOE parameters'!$E$27*Assumptions!$C$9)*('LCOE parameters'!$E$23*Assumptions!$C$4)/F103</f>
        <v>222400</v>
      </c>
      <c r="G90" s="58">
        <f>('LCOE parameters'!$E$27*Assumptions!$C$9)*('LCOE parameters'!$E$23*Assumptions!$C$4)/G103</f>
        <v>222400</v>
      </c>
      <c r="H90" s="58">
        <f>('LCOE parameters'!$E$27*Assumptions!$C$9)*('LCOE parameters'!$E$23*Assumptions!$C$4)/H103</f>
        <v>222400</v>
      </c>
      <c r="I90" s="58">
        <f>('LCOE parameters'!$E$27*Assumptions!$C$9)*('LCOE parameters'!$E$23*Assumptions!$C$4)/I103</f>
        <v>222400</v>
      </c>
      <c r="J90" s="58">
        <f>('LCOE parameters'!$E$27*Assumptions!$C$9)*('LCOE parameters'!$E$23*Assumptions!$C$4)/J103</f>
        <v>222400</v>
      </c>
      <c r="K90" s="58">
        <f>('LCOE parameters'!$E$27*Assumptions!$C$9)*('LCOE parameters'!$E$23*Assumptions!$C$4)/K103</f>
        <v>222400</v>
      </c>
      <c r="L90" s="58">
        <f>('LCOE parameters'!$E$27*Assumptions!$C$9)*('LCOE parameters'!$E$23*Assumptions!$C$4)/L103</f>
        <v>222400</v>
      </c>
      <c r="M90" s="58">
        <f>('LCOE parameters'!$E$27*Assumptions!$C$9)*('LCOE parameters'!$E$23*Assumptions!$C$4)/M103</f>
        <v>222400</v>
      </c>
      <c r="N90" s="58">
        <f>('LCOE parameters'!$E$27*Assumptions!$C$9)*('LCOE parameters'!$E$23*Assumptions!$C$4)/N103</f>
        <v>222400</v>
      </c>
      <c r="O90" s="58">
        <f>('LCOE parameters'!$E$27*Assumptions!$C$9)*('LCOE parameters'!$E$23*Assumptions!$C$4)/O103</f>
        <v>222400</v>
      </c>
      <c r="P90" s="58">
        <f>('LCOE parameters'!$E$27*Assumptions!$C$9)*('LCOE parameters'!$E$23*Assumptions!$C$4)/P103</f>
        <v>222400</v>
      </c>
      <c r="Q90" s="58">
        <f>('LCOE parameters'!$E$27*Assumptions!$C$9)*('LCOE parameters'!$E$23*Assumptions!$C$4)/Q103</f>
        <v>222400</v>
      </c>
      <c r="R90" s="58">
        <f>('LCOE parameters'!$E$27*Assumptions!$C$9)*('LCOE parameters'!$E$23*Assumptions!$C$4)/R103</f>
        <v>222400</v>
      </c>
      <c r="S90" s="58">
        <f>('LCOE parameters'!$E$27*Assumptions!$C$9)*('LCOE parameters'!$E$23*Assumptions!$C$4)/S103</f>
        <v>222400</v>
      </c>
      <c r="T90" s="58">
        <f>('LCOE parameters'!$E$27*Assumptions!$C$9)*('LCOE parameters'!$E$23*Assumptions!$C$4)/T103</f>
        <v>222400</v>
      </c>
      <c r="U90" s="58">
        <f>('LCOE parameters'!$E$27*Assumptions!$C$9)*('LCOE parameters'!$E$23*Assumptions!$C$4)/U103</f>
        <v>222400</v>
      </c>
      <c r="V90" s="58">
        <f>('LCOE parameters'!$E$27*Assumptions!$C$9)*('LCOE parameters'!$E$23*Assumptions!$C$4)/V103</f>
        <v>222400</v>
      </c>
      <c r="W90" s="58">
        <f>('LCOE parameters'!$E$27*Assumptions!$C$9)*('LCOE parameters'!$E$23*Assumptions!$C$4)/W103</f>
        <v>222400</v>
      </c>
      <c r="X90" s="58">
        <f>('LCOE parameters'!$E$27*Assumptions!$C$9)*('LCOE parameters'!$E$23*Assumptions!$C$4)/X103</f>
        <v>222400</v>
      </c>
      <c r="Y90" s="58">
        <f>('LCOE parameters'!$E$27*Assumptions!$C$9)*('LCOE parameters'!$E$23*Assumptions!$C$4)/Y103</f>
        <v>222400</v>
      </c>
      <c r="Z90" s="58">
        <f>('LCOE parameters'!$E$27*Assumptions!$C$9)*('LCOE parameters'!$E$23*Assumptions!$C$4)/Z103</f>
        <v>222400</v>
      </c>
      <c r="AA90" s="58">
        <f>('LCOE parameters'!$E$27*Assumptions!$C$9)*('LCOE parameters'!$E$23*Assumptions!$C$4)/AA103</f>
        <v>222400</v>
      </c>
    </row>
    <row r="91" spans="1:42">
      <c r="A91" s="58" t="s">
        <v>190</v>
      </c>
      <c r="B91" s="58">
        <f>B89*B101*'LCOE parameters'!E$41</f>
        <v>119539.99999999999</v>
      </c>
      <c r="C91" s="58">
        <f>$B$89*C101</f>
        <v>239079.99999999997</v>
      </c>
      <c r="D91" s="58">
        <f>SUM($B$89,-C90)*D101</f>
        <v>229516.79999999999</v>
      </c>
      <c r="E91" s="58">
        <f>SUM($B$89,-SUM(C90:D90))*E101</f>
        <v>219953.59999999998</v>
      </c>
      <c r="F91" s="58">
        <f>SUM($B$89,-SUM(C90:E90))*F101</f>
        <v>210390.39999999999</v>
      </c>
      <c r="G91" s="58">
        <f>SUM($B$89,-SUM(C90:F90))*G101</f>
        <v>200827.19999999998</v>
      </c>
      <c r="H91" s="58">
        <f>SUM($B$89,-SUM(C90:G90))*H101</f>
        <v>191263.99999999997</v>
      </c>
      <c r="I91" s="58">
        <f>SUM($B$89,-SUM(C90:H90))*I101</f>
        <v>181700.8</v>
      </c>
      <c r="J91" s="58">
        <f>SUM($B$89,-SUM(C90:I90))*J101</f>
        <v>172137.59999999998</v>
      </c>
      <c r="K91" s="58">
        <f>SUM($B$89,-SUM(C90:J90))*K101</f>
        <v>162574.39999999999</v>
      </c>
      <c r="L91" s="58">
        <f>SUM($B$89,-SUM(C90:K90))*L101</f>
        <v>153011.19999999998</v>
      </c>
      <c r="M91" s="58">
        <f>SUM($B$89,-SUM(C90:L90))*M101</f>
        <v>143448</v>
      </c>
      <c r="N91" s="58">
        <f>SUM($B$89,-SUM(C90:M90))*N101</f>
        <v>133884.79999999999</v>
      </c>
      <c r="O91" s="58">
        <f>SUM($B$89,-SUM(C90:N90))*O101</f>
        <v>124321.59999999999</v>
      </c>
      <c r="P91" s="58">
        <f>SUM($B$89,-SUM(C90:O90))*P101</f>
        <v>114758.39999999999</v>
      </c>
      <c r="Q91" s="58">
        <f>SUM($B$89,-SUM(C90:P90))*Q101</f>
        <v>105195.2</v>
      </c>
      <c r="R91" s="58">
        <f>SUM($B$89,-SUM(C90:Q90))*R101</f>
        <v>95631.999999999985</v>
      </c>
      <c r="S91" s="58">
        <f>SUM($B$89,-SUM(C90:R90))*S101</f>
        <v>86068.799999999988</v>
      </c>
      <c r="T91" s="58">
        <f>SUM($B$89,-SUM(C90:S90))*T101</f>
        <v>76505.599999999991</v>
      </c>
      <c r="U91" s="58">
        <f>SUM($B$89,-SUM(C90:T90))*U101</f>
        <v>66942.399999999994</v>
      </c>
      <c r="V91" s="58">
        <f>SUM($B$89,-SUM(C90:U90))*V101</f>
        <v>57379.199999999997</v>
      </c>
      <c r="W91" s="58">
        <f>SUM($B$89,-SUM(C90:V90))*W101</f>
        <v>47815.999999999993</v>
      </c>
      <c r="X91" s="58">
        <f>SUM($B$89,-SUM(C90:W90))*X101</f>
        <v>38252.799999999996</v>
      </c>
      <c r="Y91" s="58">
        <f>SUM($B$89,-SUM(C90:X90))*Y101</f>
        <v>28689.599999999999</v>
      </c>
      <c r="Z91" s="58">
        <f>SUM($B$89,-SUM(C90:Y90))*Z101</f>
        <v>19126.399999999998</v>
      </c>
      <c r="AA91" s="58">
        <f>SUM($B$89,-SUM(C90:Z90))*AA101</f>
        <v>9563.1999999999989</v>
      </c>
    </row>
    <row r="92" spans="1:42">
      <c r="A92" s="58" t="s">
        <v>191</v>
      </c>
      <c r="C92" s="61">
        <f>('LCOE parameters'!$E$30*Assumptions!$C$12)*('LCOE parameters'!$E$23*Assumptions!$C$4)</f>
        <v>83400</v>
      </c>
      <c r="D92" s="61">
        <f>('LCOE parameters'!$E$30*Assumptions!$C$12)*('LCOE parameters'!$E$23*Assumptions!$C$4)</f>
        <v>83400</v>
      </c>
      <c r="E92" s="61">
        <f>('LCOE parameters'!$E$30*Assumptions!$C$12)*('LCOE parameters'!$E$23*Assumptions!$C$4)</f>
        <v>83400</v>
      </c>
      <c r="F92" s="61">
        <f>('LCOE parameters'!$E$30*Assumptions!$C$12)*('LCOE parameters'!$E$23*Assumptions!$C$4)</f>
        <v>83400</v>
      </c>
      <c r="G92" s="61">
        <f>('LCOE parameters'!$E$30*Assumptions!$C$12)*('LCOE parameters'!$E$23*Assumptions!$C$4)</f>
        <v>83400</v>
      </c>
      <c r="H92" s="61">
        <f>('LCOE parameters'!$E$30*Assumptions!$C$12)*('LCOE parameters'!$E$23*Assumptions!$C$4)</f>
        <v>83400</v>
      </c>
      <c r="I92" s="61">
        <f>('LCOE parameters'!$E$30*Assumptions!$C$12)*('LCOE parameters'!$E$23*Assumptions!$C$4)</f>
        <v>83400</v>
      </c>
      <c r="J92" s="61">
        <f>('LCOE parameters'!$E$30*Assumptions!$C$12)*('LCOE parameters'!$E$23*Assumptions!$C$4)</f>
        <v>83400</v>
      </c>
      <c r="K92" s="61">
        <f>('LCOE parameters'!$E$30*Assumptions!$C$12)*('LCOE parameters'!$E$23*Assumptions!$C$4)</f>
        <v>83400</v>
      </c>
      <c r="L92" s="61">
        <f>('LCOE parameters'!$E$30*Assumptions!$C$12)*('LCOE parameters'!$E$23*Assumptions!$C$4)</f>
        <v>83400</v>
      </c>
      <c r="M92" s="61">
        <f>('LCOE parameters'!$E$30*Assumptions!$C$12)*('LCOE parameters'!$E$23*Assumptions!$C$4)</f>
        <v>83400</v>
      </c>
      <c r="N92" s="61">
        <f>('LCOE parameters'!$E$30*Assumptions!$C$12)*('LCOE parameters'!$E$23*Assumptions!$C$4)</f>
        <v>83400</v>
      </c>
      <c r="O92" s="61">
        <f>('LCOE parameters'!$E$30*Assumptions!$C$12)*('LCOE parameters'!$E$23*Assumptions!$C$4)</f>
        <v>83400</v>
      </c>
      <c r="P92" s="61">
        <f>('LCOE parameters'!$E$30*Assumptions!$C$12)*('LCOE parameters'!$E$23*Assumptions!$C$4)</f>
        <v>83400</v>
      </c>
      <c r="Q92" s="61">
        <f>('LCOE parameters'!$E$30*Assumptions!$C$12)*('LCOE parameters'!$E$23*Assumptions!$C$4)</f>
        <v>83400</v>
      </c>
      <c r="R92" s="61">
        <f>('LCOE parameters'!$E$30*Assumptions!$C$12)*('LCOE parameters'!$E$23*Assumptions!$C$4)</f>
        <v>83400</v>
      </c>
      <c r="S92" s="61">
        <f>('LCOE parameters'!$E$30*Assumptions!$C$12)*('LCOE parameters'!$E$23*Assumptions!$C$4)</f>
        <v>83400</v>
      </c>
      <c r="T92" s="61">
        <f>('LCOE parameters'!$E$30*Assumptions!$C$12)*('LCOE parameters'!$E$23*Assumptions!$C$4)</f>
        <v>83400</v>
      </c>
      <c r="U92" s="61">
        <f>('LCOE parameters'!$E$30*Assumptions!$C$12)*('LCOE parameters'!$E$23*Assumptions!$C$4)</f>
        <v>83400</v>
      </c>
      <c r="V92" s="61">
        <f>('LCOE parameters'!$E$30*Assumptions!$C$12)*('LCOE parameters'!$E$23*Assumptions!$C$4)</f>
        <v>83400</v>
      </c>
      <c r="W92" s="61">
        <f>('LCOE parameters'!$E$30*Assumptions!$C$12)*('LCOE parameters'!$E$23*Assumptions!$C$4)</f>
        <v>83400</v>
      </c>
      <c r="X92" s="61">
        <f>('LCOE parameters'!$E$30*Assumptions!$C$12)*('LCOE parameters'!$E$23*Assumptions!$C$4)</f>
        <v>83400</v>
      </c>
      <c r="Y92" s="61">
        <f>('LCOE parameters'!$E$30*Assumptions!$C$12)*('LCOE parameters'!$E$23*Assumptions!$C$4)</f>
        <v>83400</v>
      </c>
      <c r="Z92" s="61">
        <f>('LCOE parameters'!$E$30*Assumptions!$C$12)*('LCOE parameters'!$E$23*Assumptions!$C$4)</f>
        <v>83400</v>
      </c>
      <c r="AA92" s="61">
        <f>('LCOE parameters'!$E$30*Assumptions!$C$12)*('LCOE parameters'!$E$23*Assumptions!$C$4)</f>
        <v>83400</v>
      </c>
    </row>
    <row r="93" spans="1:42">
      <c r="A93" s="58" t="s">
        <v>192</v>
      </c>
      <c r="C93" s="61">
        <f>('LCOE parameters'!$E$31*Assumptions!$C$13)*('LCOE parameters'!$E$24*Assumptions!$C$6)</f>
        <v>0</v>
      </c>
      <c r="D93" s="61">
        <f>('LCOE parameters'!$E$31*Assumptions!$C$13)*('LCOE parameters'!$E$23*Assumptions!$C$4)*('LCOE parameters'!$E$24*Assumptions!$C$6)</f>
        <v>0</v>
      </c>
      <c r="E93" s="61">
        <f>('LCOE parameters'!$E$31*Assumptions!$C$13)*('LCOE parameters'!$E$23*Assumptions!$C$4)*('LCOE parameters'!$E$24*Assumptions!$C$6)</f>
        <v>0</v>
      </c>
      <c r="F93" s="61">
        <f>('LCOE parameters'!$E$31*Assumptions!$C$13)*('LCOE parameters'!$E$23*Assumptions!$C$4)*('LCOE parameters'!$E$24*Assumptions!$C$6)</f>
        <v>0</v>
      </c>
      <c r="G93" s="61">
        <f>('LCOE parameters'!$E$31*Assumptions!$C$13)*('LCOE parameters'!$E$23*Assumptions!$C$4)*('LCOE parameters'!$E$24*Assumptions!$C$6)</f>
        <v>0</v>
      </c>
      <c r="H93" s="61">
        <f>('LCOE parameters'!$E$31*Assumptions!$C$13)*('LCOE parameters'!$E$23*Assumptions!$C$4)*('LCOE parameters'!$E$24*Assumptions!$C$6)</f>
        <v>0</v>
      </c>
      <c r="I93" s="61">
        <f>('LCOE parameters'!$E$31*Assumptions!$C$13)*('LCOE parameters'!$E$23*Assumptions!$C$4)*('LCOE parameters'!$E$24*Assumptions!$C$6)</f>
        <v>0</v>
      </c>
      <c r="J93" s="61">
        <f>('LCOE parameters'!$E$31*Assumptions!$C$13)*('LCOE parameters'!$E$23*Assumptions!$C$4)*('LCOE parameters'!$E$24*Assumptions!$C$6)</f>
        <v>0</v>
      </c>
      <c r="K93" s="61">
        <f>('LCOE parameters'!$E$31*Assumptions!$C$13)*('LCOE parameters'!$E$23*Assumptions!$C$4)*('LCOE parameters'!$E$24*Assumptions!$C$6)</f>
        <v>0</v>
      </c>
      <c r="L93" s="61">
        <f>('LCOE parameters'!$E$31*Assumptions!$C$13)*('LCOE parameters'!$E$23*Assumptions!$C$4)*('LCOE parameters'!$E$24*Assumptions!$C$6)</f>
        <v>0</v>
      </c>
      <c r="M93" s="61">
        <f>('LCOE parameters'!$E$31*Assumptions!$C$13)*('LCOE parameters'!$E$23*Assumptions!$C$4)*('LCOE parameters'!$E$24*Assumptions!$C$6)</f>
        <v>0</v>
      </c>
      <c r="N93" s="61">
        <f>('LCOE parameters'!$E$31*Assumptions!$C$13)*('LCOE parameters'!$E$23*Assumptions!$C$4)*('LCOE parameters'!$E$24*Assumptions!$C$6)</f>
        <v>0</v>
      </c>
      <c r="O93" s="61">
        <f>('LCOE parameters'!$E$31*Assumptions!$C$13)*('LCOE parameters'!$E$23*Assumptions!$C$4)*('LCOE parameters'!$E$24*Assumptions!$C$6)</f>
        <v>0</v>
      </c>
      <c r="P93" s="61">
        <f>('LCOE parameters'!$E$31*Assumptions!$C$13)*('LCOE parameters'!$E$23*Assumptions!$C$4)*('LCOE parameters'!$E$24*Assumptions!$C$6)</f>
        <v>0</v>
      </c>
      <c r="Q93" s="61">
        <f>('LCOE parameters'!$E$31*Assumptions!$C$13)*('LCOE parameters'!$E$23*Assumptions!$C$4)*('LCOE parameters'!$E$24*Assumptions!$C$6)</f>
        <v>0</v>
      </c>
      <c r="R93" s="61">
        <f>('LCOE parameters'!$E$31*Assumptions!$C$13)*('LCOE parameters'!$E$23*Assumptions!$C$4)*('LCOE parameters'!$E$24*Assumptions!$C$6)</f>
        <v>0</v>
      </c>
      <c r="S93" s="61">
        <f>('LCOE parameters'!$E$31*Assumptions!$C$13)*('LCOE parameters'!$E$23*Assumptions!$C$4)*('LCOE parameters'!$E$24*Assumptions!$C$6)</f>
        <v>0</v>
      </c>
      <c r="T93" s="61">
        <f>('LCOE parameters'!$E$31*Assumptions!$C$13)*('LCOE parameters'!$E$23*Assumptions!$C$4)*('LCOE parameters'!$E$24*Assumptions!$C$6)</f>
        <v>0</v>
      </c>
      <c r="U93" s="61">
        <f>('LCOE parameters'!$E$31*Assumptions!$C$13)*('LCOE parameters'!$E$23*Assumptions!$C$4)*('LCOE parameters'!$E$24*Assumptions!$C$6)</f>
        <v>0</v>
      </c>
      <c r="V93" s="61">
        <f>('LCOE parameters'!$E$31*Assumptions!$C$13)*('LCOE parameters'!$E$23*Assumptions!$C$4)*('LCOE parameters'!$E$24*Assumptions!$C$6)</f>
        <v>0</v>
      </c>
      <c r="W93" s="61">
        <f>('LCOE parameters'!$E$31*Assumptions!$C$13)*('LCOE parameters'!$E$23*Assumptions!$C$4)*('LCOE parameters'!$E$24*Assumptions!$C$6)</f>
        <v>0</v>
      </c>
      <c r="X93" s="61">
        <f>('LCOE parameters'!$E$31*Assumptions!$C$13)*('LCOE parameters'!$E$23*Assumptions!$C$4)*('LCOE parameters'!$E$24*Assumptions!$C$6)</f>
        <v>0</v>
      </c>
      <c r="Y93" s="61">
        <f>('LCOE parameters'!$E$31*Assumptions!$C$13)*('LCOE parameters'!$E$23*Assumptions!$C$4)*('LCOE parameters'!$E$24*Assumptions!$C$6)</f>
        <v>0</v>
      </c>
      <c r="Z93" s="61">
        <f>('LCOE parameters'!$E$31*Assumptions!$C$13)*('LCOE parameters'!$E$23*Assumptions!$C$4)*('LCOE parameters'!$E$24*Assumptions!$C$6)</f>
        <v>0</v>
      </c>
      <c r="AA93" s="61">
        <f>('LCOE parameters'!$E$31*Assumptions!$C$13)*('LCOE parameters'!$E$23*Assumptions!$C$4)*('LCOE parameters'!$E$24*Assumptions!$C$6)</f>
        <v>0</v>
      </c>
    </row>
    <row r="94" spans="1:42">
      <c r="A94" s="58" t="s">
        <v>194</v>
      </c>
      <c r="C94" s="61">
        <f>'LCOE parameters'!$E$32</f>
        <v>0</v>
      </c>
      <c r="D94" s="61">
        <f>'LCOE parameters'!$E$32</f>
        <v>0</v>
      </c>
      <c r="E94" s="61">
        <f>'LCOE parameters'!$E$32</f>
        <v>0</v>
      </c>
      <c r="F94" s="61">
        <f>'LCOE parameters'!$E$32</f>
        <v>0</v>
      </c>
      <c r="G94" s="61">
        <f>'LCOE parameters'!$E$32</f>
        <v>0</v>
      </c>
      <c r="H94" s="61">
        <f>'LCOE parameters'!$E$32</f>
        <v>0</v>
      </c>
      <c r="I94" s="61">
        <f>'LCOE parameters'!$E$32</f>
        <v>0</v>
      </c>
      <c r="J94" s="61">
        <f>'LCOE parameters'!$E$32</f>
        <v>0</v>
      </c>
      <c r="K94" s="61">
        <f>'LCOE parameters'!$E$32</f>
        <v>0</v>
      </c>
      <c r="L94" s="61">
        <f>'LCOE parameters'!$E$32</f>
        <v>0</v>
      </c>
      <c r="M94" s="61">
        <f>'LCOE parameters'!$E$32</f>
        <v>0</v>
      </c>
      <c r="N94" s="61">
        <f>'LCOE parameters'!$E$32</f>
        <v>0</v>
      </c>
      <c r="O94" s="61">
        <f>'LCOE parameters'!$E$32</f>
        <v>0</v>
      </c>
      <c r="P94" s="61">
        <f>'LCOE parameters'!$E$32</f>
        <v>0</v>
      </c>
      <c r="Q94" s="61">
        <f>'LCOE parameters'!$E$32</f>
        <v>0</v>
      </c>
      <c r="R94" s="61">
        <f>'LCOE parameters'!$E$32</f>
        <v>0</v>
      </c>
      <c r="S94" s="61">
        <f>'LCOE parameters'!$E$32</f>
        <v>0</v>
      </c>
      <c r="T94" s="61">
        <f>'LCOE parameters'!$E$32</f>
        <v>0</v>
      </c>
      <c r="U94" s="61">
        <f>'LCOE parameters'!$E$32</f>
        <v>0</v>
      </c>
      <c r="V94" s="61">
        <f>'LCOE parameters'!$E$32</f>
        <v>0</v>
      </c>
      <c r="W94" s="61">
        <f>'LCOE parameters'!$E$32</f>
        <v>0</v>
      </c>
      <c r="X94" s="61">
        <f>'LCOE parameters'!$E$32</f>
        <v>0</v>
      </c>
      <c r="Y94" s="61">
        <f>'LCOE parameters'!$E$32</f>
        <v>0</v>
      </c>
      <c r="Z94" s="61">
        <f>'LCOE parameters'!$E$32</f>
        <v>0</v>
      </c>
      <c r="AA94" s="61">
        <f>'LCOE parameters'!$E$32</f>
        <v>0</v>
      </c>
    </row>
    <row r="95" spans="1:42">
      <c r="A95" s="61" t="s">
        <v>195</v>
      </c>
      <c r="C95" s="58">
        <f>SUM(('LCOE parameters'!$E$33*'LCOE parameters'!$E$23*'LCOE parameters'!$E$24),('LCOE parameters'!$E$34*'LCOE parameters'!$E$23*'LCOE parameters'!$E$24),('LCOE parameters'!$E$35*'LCOE parameters'!$E$23*'LCOE parameters'!$E$24),('LCOE parameters'!$E$36*'LCOE parameters'!$E$23*'LCOE parameters'!$E$24))</f>
        <v>0</v>
      </c>
      <c r="D95" s="58">
        <f>SUM(('LCOE parameters'!$E$33*'LCOE parameters'!$E$23*'LCOE parameters'!$E$24),('LCOE parameters'!$E$34*'LCOE parameters'!$E$23*'LCOE parameters'!$E$24),('LCOE parameters'!$E$35*'LCOE parameters'!$E$23*'LCOE parameters'!$E$24),('LCOE parameters'!$E$36*'LCOE parameters'!$E$23*'LCOE parameters'!$E$24))</f>
        <v>0</v>
      </c>
      <c r="E95" s="58">
        <f>SUM(('LCOE parameters'!$E$33*'LCOE parameters'!$E$23*'LCOE parameters'!$E$24),('LCOE parameters'!$E$34*'LCOE parameters'!$E$23*'LCOE parameters'!$E$24),('LCOE parameters'!$E$35*'LCOE parameters'!$E$23*'LCOE parameters'!$E$24),('LCOE parameters'!$E$36*'LCOE parameters'!$E$23*'LCOE parameters'!$E$24))</f>
        <v>0</v>
      </c>
      <c r="F95" s="58">
        <f>SUM(('LCOE parameters'!$E$33*'LCOE parameters'!$E$23*'LCOE parameters'!$E$24),('LCOE parameters'!$E$34*'LCOE parameters'!$E$23*'LCOE parameters'!$E$24),('LCOE parameters'!$E$35*'LCOE parameters'!$E$23*'LCOE parameters'!$E$24),('LCOE parameters'!$E$36*'LCOE parameters'!$E$23*'LCOE parameters'!$E$24))</f>
        <v>0</v>
      </c>
      <c r="G95" s="58">
        <f>SUM(('LCOE parameters'!$E$33*'LCOE parameters'!$E$23*'LCOE parameters'!$E$24),('LCOE parameters'!$E$34*'LCOE parameters'!$E$23*'LCOE parameters'!$E$24),('LCOE parameters'!$E$35*'LCOE parameters'!$E$23*'LCOE parameters'!$E$24),('LCOE parameters'!$E$36*'LCOE parameters'!$E$23*'LCOE parameters'!$E$24))</f>
        <v>0</v>
      </c>
      <c r="H95" s="58">
        <f>SUM(('LCOE parameters'!$E$33*'LCOE parameters'!$E$23*'LCOE parameters'!$E$24),('LCOE parameters'!$E$34*'LCOE parameters'!$E$23*'LCOE parameters'!$E$24),('LCOE parameters'!$E$35*'LCOE parameters'!$E$23*'LCOE parameters'!$E$24),('LCOE parameters'!$E$36*'LCOE parameters'!$E$23*'LCOE parameters'!$E$24))</f>
        <v>0</v>
      </c>
      <c r="I95" s="58">
        <f>SUM(('LCOE parameters'!$E$33*'LCOE parameters'!$E$23*'LCOE parameters'!$E$24),('LCOE parameters'!$E$34*'LCOE parameters'!$E$23*'LCOE parameters'!$E$24),('LCOE parameters'!$E$35*'LCOE parameters'!$E$23*'LCOE parameters'!$E$24),('LCOE parameters'!$E$36*'LCOE parameters'!$E$23*'LCOE parameters'!$E$24))</f>
        <v>0</v>
      </c>
      <c r="J95" s="58">
        <f>SUM(('LCOE parameters'!$E$33*'LCOE parameters'!$E$23*'LCOE parameters'!$E$24),('LCOE parameters'!$E$34*'LCOE parameters'!$E$23*'LCOE parameters'!$E$24),('LCOE parameters'!$E$35*'LCOE parameters'!$E$23*'LCOE parameters'!$E$24),('LCOE parameters'!$E$36*'LCOE parameters'!$E$23*'LCOE parameters'!$E$24))</f>
        <v>0</v>
      </c>
      <c r="K95" s="58">
        <f>SUM(('LCOE parameters'!$E$33*'LCOE parameters'!$E$23*'LCOE parameters'!$E$24),('LCOE parameters'!$E$34*'LCOE parameters'!$E$23*'LCOE parameters'!$E$24),('LCOE parameters'!$E$35*'LCOE parameters'!$E$23*'LCOE parameters'!$E$24),('LCOE parameters'!$E$36*'LCOE parameters'!$E$23*'LCOE parameters'!$E$24))</f>
        <v>0</v>
      </c>
      <c r="L95" s="58">
        <f>SUM(('LCOE parameters'!$E$33*'LCOE parameters'!$E$23*'LCOE parameters'!$E$24),('LCOE parameters'!$E$34*'LCOE parameters'!$E$23*'LCOE parameters'!$E$24),('LCOE parameters'!$E$35*'LCOE parameters'!$E$23*'LCOE parameters'!$E$24),('LCOE parameters'!$E$36*'LCOE parameters'!$E$23*'LCOE parameters'!$E$24))</f>
        <v>0</v>
      </c>
      <c r="M95" s="58">
        <f>SUM(('LCOE parameters'!$E$33*'LCOE parameters'!$E$23*'LCOE parameters'!$E$24),('LCOE parameters'!$E$34*'LCOE parameters'!$E$23*'LCOE parameters'!$E$24),('LCOE parameters'!$E$35*'LCOE parameters'!$E$23*'LCOE parameters'!$E$24),('LCOE parameters'!$E$36*'LCOE parameters'!$E$23*'LCOE parameters'!$E$24))</f>
        <v>0</v>
      </c>
      <c r="N95" s="58">
        <f>SUM(('LCOE parameters'!$E$33*'LCOE parameters'!$E$23*'LCOE parameters'!$E$24),('LCOE parameters'!$E$34*'LCOE parameters'!$E$23*'LCOE parameters'!$E$24),('LCOE parameters'!$E$35*'LCOE parameters'!$E$23*'LCOE parameters'!$E$24),('LCOE parameters'!$E$36*'LCOE parameters'!$E$23*'LCOE parameters'!$E$24))</f>
        <v>0</v>
      </c>
      <c r="O95" s="58">
        <f>SUM(('LCOE parameters'!$E$33*'LCOE parameters'!$E$23*'LCOE parameters'!$E$24),('LCOE parameters'!$E$34*'LCOE parameters'!$E$23*'LCOE parameters'!$E$24),('LCOE parameters'!$E$35*'LCOE parameters'!$E$23*'LCOE parameters'!$E$24),('LCOE parameters'!$E$36*'LCOE parameters'!$E$23*'LCOE parameters'!$E$24))</f>
        <v>0</v>
      </c>
      <c r="P95" s="58">
        <f>SUM(('LCOE parameters'!$E$33*'LCOE parameters'!$E$23*'LCOE parameters'!$E$24),('LCOE parameters'!$E$34*'LCOE parameters'!$E$23*'LCOE parameters'!$E$24),('LCOE parameters'!$E$35*'LCOE parameters'!$E$23*'LCOE parameters'!$E$24),('LCOE parameters'!$E$36*'LCOE parameters'!$E$23*'LCOE parameters'!$E$24))</f>
        <v>0</v>
      </c>
      <c r="Q95" s="58">
        <f>SUM(('LCOE parameters'!$E$33*'LCOE parameters'!$E$23*'LCOE parameters'!$E$24),('LCOE parameters'!$E$34*'LCOE parameters'!$E$23*'LCOE parameters'!$E$24),('LCOE parameters'!$E$35*'LCOE parameters'!$E$23*'LCOE parameters'!$E$24),('LCOE parameters'!$E$36*'LCOE parameters'!$E$23*'LCOE parameters'!$E$24))</f>
        <v>0</v>
      </c>
      <c r="R95" s="58">
        <f>SUM(('LCOE parameters'!$E$33*'LCOE parameters'!$E$23*'LCOE parameters'!$E$24),('LCOE parameters'!$E$34*'LCOE parameters'!$E$23*'LCOE parameters'!$E$24),('LCOE parameters'!$E$35*'LCOE parameters'!$E$23*'LCOE parameters'!$E$24),('LCOE parameters'!$E$36*'LCOE parameters'!$E$23*'LCOE parameters'!$E$24))</f>
        <v>0</v>
      </c>
      <c r="S95" s="58">
        <f>SUM(('LCOE parameters'!$E$33*'LCOE parameters'!$E$23*'LCOE parameters'!$E$24),('LCOE parameters'!$E$34*'LCOE parameters'!$E$23*'LCOE parameters'!$E$24),('LCOE parameters'!$E$35*'LCOE parameters'!$E$23*'LCOE parameters'!$E$24),('LCOE parameters'!$E$36*'LCOE parameters'!$E$23*'LCOE parameters'!$E$24))</f>
        <v>0</v>
      </c>
      <c r="T95" s="58">
        <f>SUM(('LCOE parameters'!$E$33*'LCOE parameters'!$E$23*'LCOE parameters'!$E$24),('LCOE parameters'!$E$34*'LCOE parameters'!$E$23*'LCOE parameters'!$E$24),('LCOE parameters'!$E$35*'LCOE parameters'!$E$23*'LCOE parameters'!$E$24),('LCOE parameters'!$E$36*'LCOE parameters'!$E$23*'LCOE parameters'!$E$24))</f>
        <v>0</v>
      </c>
      <c r="U95" s="58">
        <f>SUM(('LCOE parameters'!$E$33*'LCOE parameters'!$E$23*'LCOE parameters'!$E$24),('LCOE parameters'!$E$34*'LCOE parameters'!$E$23*'LCOE parameters'!$E$24),('LCOE parameters'!$E$35*'LCOE parameters'!$E$23*'LCOE parameters'!$E$24),('LCOE parameters'!$E$36*'LCOE parameters'!$E$23*'LCOE parameters'!$E$24))</f>
        <v>0</v>
      </c>
      <c r="V95" s="58">
        <f>SUM(('LCOE parameters'!$E$33*'LCOE parameters'!$E$23*'LCOE parameters'!$E$24),('LCOE parameters'!$E$34*'LCOE parameters'!$E$23*'LCOE parameters'!$E$24),('LCOE parameters'!$E$35*'LCOE parameters'!$E$23*'LCOE parameters'!$E$24),('LCOE parameters'!$E$36*'LCOE parameters'!$E$23*'LCOE parameters'!$E$24))</f>
        <v>0</v>
      </c>
      <c r="W95" s="58">
        <f>SUM(('LCOE parameters'!$E$33*'LCOE parameters'!$E$23*'LCOE parameters'!$E$24),('LCOE parameters'!$E$34*'LCOE parameters'!$E$23*'LCOE parameters'!$E$24),('LCOE parameters'!$E$35*'LCOE parameters'!$E$23*'LCOE parameters'!$E$24),('LCOE parameters'!$E$36*'LCOE parameters'!$E$23*'LCOE parameters'!$E$24))</f>
        <v>0</v>
      </c>
      <c r="X95" s="58">
        <f>SUM(('LCOE parameters'!$E$33*'LCOE parameters'!$E$23*'LCOE parameters'!$E$24),('LCOE parameters'!$E$34*'LCOE parameters'!$E$23*'LCOE parameters'!$E$24),('LCOE parameters'!$E$35*'LCOE parameters'!$E$23*'LCOE parameters'!$E$24),('LCOE parameters'!$E$36*'LCOE parameters'!$E$23*'LCOE parameters'!$E$24))</f>
        <v>0</v>
      </c>
      <c r="Y95" s="58">
        <f>SUM(('LCOE parameters'!$E$33*'LCOE parameters'!$E$23*'LCOE parameters'!$E$24),('LCOE parameters'!$E$34*'LCOE parameters'!$E$23*'LCOE parameters'!$E$24),('LCOE parameters'!$E$35*'LCOE parameters'!$E$23*'LCOE parameters'!$E$24),('LCOE parameters'!$E$36*'LCOE parameters'!$E$23*'LCOE parameters'!$E$24))</f>
        <v>0</v>
      </c>
      <c r="Z95" s="58">
        <f>SUM(('LCOE parameters'!$E$33*'LCOE parameters'!$E$23*'LCOE parameters'!$E$24),('LCOE parameters'!$E$34*'LCOE parameters'!$E$23*'LCOE parameters'!$E$24),('LCOE parameters'!$E$35*'LCOE parameters'!$E$23*'LCOE parameters'!$E$24),('LCOE parameters'!$E$36*'LCOE parameters'!$E$23*'LCOE parameters'!$E$24))</f>
        <v>0</v>
      </c>
      <c r="AA95" s="58">
        <f>SUM(('LCOE parameters'!$E$33*'LCOE parameters'!$E$23*'LCOE parameters'!$E$24),('LCOE parameters'!$E$34*'LCOE parameters'!$E$23*'LCOE parameters'!$E$24),('LCOE parameters'!$E$35*'LCOE parameters'!$E$23*'LCOE parameters'!$E$24),('LCOE parameters'!$E$36*'LCOE parameters'!$E$23*'LCOE parameters'!$E$24))</f>
        <v>0</v>
      </c>
    </row>
    <row r="96" spans="1:42">
      <c r="A96" s="61" t="s">
        <v>196</v>
      </c>
      <c r="C96" s="58">
        <f>'LCOE parameters'!$E$37</f>
        <v>0</v>
      </c>
      <c r="D96" s="58">
        <f>'LCOE parameters'!$E$37</f>
        <v>0</v>
      </c>
      <c r="E96" s="58">
        <f>'LCOE parameters'!$E$37</f>
        <v>0</v>
      </c>
      <c r="F96" s="58">
        <f>'LCOE parameters'!$E$37</f>
        <v>0</v>
      </c>
      <c r="G96" s="58">
        <f>'LCOE parameters'!$E$37</f>
        <v>0</v>
      </c>
      <c r="H96" s="58">
        <f>'LCOE parameters'!$E$37</f>
        <v>0</v>
      </c>
      <c r="I96" s="58">
        <f>'LCOE parameters'!$E$37</f>
        <v>0</v>
      </c>
      <c r="J96" s="58">
        <f>'LCOE parameters'!$E$37</f>
        <v>0</v>
      </c>
      <c r="K96" s="58">
        <f>'LCOE parameters'!$E$37</f>
        <v>0</v>
      </c>
      <c r="L96" s="58">
        <f>'LCOE parameters'!$E$37</f>
        <v>0</v>
      </c>
      <c r="M96" s="58">
        <f>'LCOE parameters'!$E$37</f>
        <v>0</v>
      </c>
      <c r="N96" s="58">
        <f>'LCOE parameters'!$E$37</f>
        <v>0</v>
      </c>
      <c r="O96" s="58">
        <f>'LCOE parameters'!$E$37</f>
        <v>0</v>
      </c>
      <c r="P96" s="58">
        <f>'LCOE parameters'!$E$37</f>
        <v>0</v>
      </c>
      <c r="Q96" s="58">
        <f>'LCOE parameters'!$E$37</f>
        <v>0</v>
      </c>
      <c r="R96" s="58">
        <f>'LCOE parameters'!$E$37</f>
        <v>0</v>
      </c>
      <c r="S96" s="58">
        <f>'LCOE parameters'!$E$37</f>
        <v>0</v>
      </c>
      <c r="T96" s="58">
        <f>'LCOE parameters'!$E$37</f>
        <v>0</v>
      </c>
      <c r="U96" s="58">
        <f>'LCOE parameters'!$E$37</f>
        <v>0</v>
      </c>
      <c r="V96" s="58">
        <f>'LCOE parameters'!$E$37</f>
        <v>0</v>
      </c>
      <c r="W96" s="58">
        <f>'LCOE parameters'!$E$37</f>
        <v>0</v>
      </c>
      <c r="X96" s="58">
        <f>'LCOE parameters'!$E$37</f>
        <v>0</v>
      </c>
      <c r="Y96" s="58">
        <f>'LCOE parameters'!$E$37</f>
        <v>0</v>
      </c>
      <c r="Z96" s="58">
        <f>'LCOE parameters'!$E$37</f>
        <v>0</v>
      </c>
      <c r="AA96" s="58">
        <f>'LCOE parameters'!$E$37</f>
        <v>0</v>
      </c>
    </row>
    <row r="97" spans="1:68">
      <c r="A97" s="61" t="s">
        <v>197</v>
      </c>
      <c r="C97" s="58">
        <f>('LCOE parameters'!$E$38*Assumptions!$C$17)*('LCOE parameters'!$E$23*Assumptions!$C$4)</f>
        <v>11120</v>
      </c>
      <c r="D97" s="58">
        <f>('LCOE parameters'!$E$38*Assumptions!$C$17)*('LCOE parameters'!$E$23*Assumptions!$C$4)</f>
        <v>11120</v>
      </c>
      <c r="E97" s="58">
        <f>('LCOE parameters'!$E$38*Assumptions!$C$17)*('LCOE parameters'!$E$23*Assumptions!$C$4)</f>
        <v>11120</v>
      </c>
      <c r="F97" s="58">
        <f>('LCOE parameters'!$E$38*Assumptions!$C$17)*('LCOE parameters'!$E$23*Assumptions!$C$4)</f>
        <v>11120</v>
      </c>
      <c r="G97" s="58">
        <f>('LCOE parameters'!$E$38*Assumptions!$C$17)*('LCOE parameters'!$E$23*Assumptions!$C$4)</f>
        <v>11120</v>
      </c>
      <c r="H97" s="58">
        <f>('LCOE parameters'!$E$38*Assumptions!$C$17)*('LCOE parameters'!$E$23*Assumptions!$C$4)</f>
        <v>11120</v>
      </c>
      <c r="I97" s="58">
        <f>('LCOE parameters'!$E$38*Assumptions!$C$17)*('LCOE parameters'!$E$23*Assumptions!$C$4)</f>
        <v>11120</v>
      </c>
      <c r="J97" s="58">
        <f>('LCOE parameters'!$E$38*Assumptions!$C$17)*('LCOE parameters'!$E$23*Assumptions!$C$4)</f>
        <v>11120</v>
      </c>
      <c r="K97" s="58">
        <f>('LCOE parameters'!$E$38*Assumptions!$C$17)*('LCOE parameters'!$E$23*Assumptions!$C$4)</f>
        <v>11120</v>
      </c>
      <c r="L97" s="58">
        <f>('LCOE parameters'!$E$38*Assumptions!$C$17)*('LCOE parameters'!$E$23*Assumptions!$C$4)</f>
        <v>11120</v>
      </c>
      <c r="M97" s="58">
        <f>('LCOE parameters'!$E$38*Assumptions!$C$17)*('LCOE parameters'!$E$23*Assumptions!$C$4)</f>
        <v>11120</v>
      </c>
      <c r="N97" s="58">
        <f>('LCOE parameters'!$E$38*Assumptions!$C$17)*('LCOE parameters'!$E$23*Assumptions!$C$4)</f>
        <v>11120</v>
      </c>
      <c r="O97" s="58">
        <f>('LCOE parameters'!$E$38*Assumptions!$C$17)*('LCOE parameters'!$E$23*Assumptions!$C$4)</f>
        <v>11120</v>
      </c>
      <c r="P97" s="58">
        <f>('LCOE parameters'!$E$38*Assumptions!$C$17)*('LCOE parameters'!$E$23*Assumptions!$C$4)</f>
        <v>11120</v>
      </c>
      <c r="Q97" s="58">
        <f>('LCOE parameters'!$E$38*Assumptions!$C$17)*('LCOE parameters'!$E$23*Assumptions!$C$4)</f>
        <v>11120</v>
      </c>
      <c r="R97" s="58">
        <f>('LCOE parameters'!$E$38*Assumptions!$C$17)*('LCOE parameters'!$E$23*Assumptions!$C$4)</f>
        <v>11120</v>
      </c>
      <c r="S97" s="58">
        <f>('LCOE parameters'!$E$38*Assumptions!$C$17)*('LCOE parameters'!$E$23*Assumptions!$C$4)</f>
        <v>11120</v>
      </c>
      <c r="T97" s="58">
        <f>('LCOE parameters'!$E$38*Assumptions!$C$17)*('LCOE parameters'!$E$23*Assumptions!$C$4)</f>
        <v>11120</v>
      </c>
      <c r="U97" s="58">
        <f>('LCOE parameters'!$E$38*Assumptions!$C$17)*('LCOE parameters'!$E$23*Assumptions!$C$4)</f>
        <v>11120</v>
      </c>
      <c r="V97" s="58">
        <f>('LCOE parameters'!$E$38*Assumptions!$C$17)*('LCOE parameters'!$E$23*Assumptions!$C$4)</f>
        <v>11120</v>
      </c>
      <c r="W97" s="58">
        <f>('LCOE parameters'!$E$38*Assumptions!$C$17)*('LCOE parameters'!$E$23*Assumptions!$C$4)</f>
        <v>11120</v>
      </c>
      <c r="X97" s="58">
        <f>('LCOE parameters'!$E$38*Assumptions!$C$17)*('LCOE parameters'!$E$23*Assumptions!$C$4)</f>
        <v>11120</v>
      </c>
      <c r="Y97" s="58">
        <f>('LCOE parameters'!$E$38*Assumptions!$C$17)*('LCOE parameters'!$E$23*Assumptions!$C$4)</f>
        <v>11120</v>
      </c>
      <c r="Z97" s="58">
        <f>('LCOE parameters'!$E$38*Assumptions!$C$17)*('LCOE parameters'!$E$23*Assumptions!$C$4)</f>
        <v>11120</v>
      </c>
      <c r="AA97" s="58">
        <f>('LCOE parameters'!$E$38*Assumptions!$C$17)*('LCOE parameters'!$E$23*Assumptions!$C$4)</f>
        <v>11120</v>
      </c>
    </row>
    <row r="98" spans="1:68">
      <c r="A98" s="58" t="s">
        <v>209</v>
      </c>
      <c r="B98" s="58">
        <f>'LCOE parameters'!E23*'LCOE parameters'!E24*'LCOE parameters'!E41*'LCOE parameters'!B49*'LCOE parameters'!B50</f>
        <v>73277.998133411384</v>
      </c>
    </row>
    <row r="99" spans="1:68">
      <c r="A99" s="58" t="s">
        <v>210</v>
      </c>
      <c r="B99" s="58">
        <f>'LCOE parameters'!$E$49*'LCOE parameters'!$E$53*'LCOE parameters'!$E$42*'LCOE parameters'!$E$23*'LCOE parameters'!$E$24</f>
        <v>393749.99999999994</v>
      </c>
    </row>
    <row r="100" spans="1:68">
      <c r="A100" s="58" t="s">
        <v>149</v>
      </c>
      <c r="B100" s="58">
        <v>0</v>
      </c>
      <c r="C100" s="58">
        <f>('LCOE parameters'!$E$23*Assumptions!$C$4)*('LCOE parameters'!$E$24*Assumptions!$C$6)</f>
        <v>17500</v>
      </c>
      <c r="D100" s="58">
        <f>('LCOE parameters'!$E$23*Assumptions!$C$4)*('LCOE parameters'!$E$24*Assumptions!$C$6)</f>
        <v>17500</v>
      </c>
      <c r="E100" s="58">
        <f>('LCOE parameters'!$E$23*Assumptions!$C$4)*('LCOE parameters'!$E$24*Assumptions!$C$6)</f>
        <v>17500</v>
      </c>
      <c r="F100" s="58">
        <f>('LCOE parameters'!$E$23*Assumptions!$C$4)*('LCOE parameters'!$E$24*Assumptions!$C$6)</f>
        <v>17500</v>
      </c>
      <c r="G100" s="58">
        <f>('LCOE parameters'!$E$23*Assumptions!$C$4)*('LCOE parameters'!$E$24*Assumptions!$C$6)</f>
        <v>17500</v>
      </c>
      <c r="H100" s="58">
        <f>('LCOE parameters'!$E$23*Assumptions!$C$4)*('LCOE parameters'!$E$24*Assumptions!$C$6)</f>
        <v>17500</v>
      </c>
      <c r="I100" s="58">
        <f>('LCOE parameters'!$E$23*Assumptions!$C$4)*('LCOE parameters'!$E$24*Assumptions!$C$6)</f>
        <v>17500</v>
      </c>
      <c r="J100" s="58">
        <f>('LCOE parameters'!$E$23*Assumptions!$C$4)*('LCOE parameters'!$E$24*Assumptions!$C$6)</f>
        <v>17500</v>
      </c>
      <c r="K100" s="58">
        <f>('LCOE parameters'!$E$23*Assumptions!$C$4)*('LCOE parameters'!$E$24*Assumptions!$C$6)</f>
        <v>17500</v>
      </c>
      <c r="L100" s="58">
        <f>('LCOE parameters'!$E$23*Assumptions!$C$4)*('LCOE parameters'!$E$24*Assumptions!$C$6)</f>
        <v>17500</v>
      </c>
      <c r="M100" s="58">
        <f>('LCOE parameters'!$E$23*Assumptions!$C$4)*('LCOE parameters'!$E$24*Assumptions!$C$6)</f>
        <v>17500</v>
      </c>
      <c r="N100" s="58">
        <f>('LCOE parameters'!$E$23*Assumptions!$C$4)*('LCOE parameters'!$E$24*Assumptions!$C$6)</f>
        <v>17500</v>
      </c>
      <c r="O100" s="58">
        <f>('LCOE parameters'!$E$23*Assumptions!$C$4)*('LCOE parameters'!$E$24*Assumptions!$C$6)</f>
        <v>17500</v>
      </c>
      <c r="P100" s="58">
        <f>('LCOE parameters'!$E$23*Assumptions!$C$4)*('LCOE parameters'!$E$24*Assumptions!$C$6)</f>
        <v>17500</v>
      </c>
      <c r="Q100" s="58">
        <f>('LCOE parameters'!$E$23*Assumptions!$C$4)*('LCOE parameters'!$E$24*Assumptions!$C$6)</f>
        <v>17500</v>
      </c>
      <c r="R100" s="58">
        <f>('LCOE parameters'!$E$23*Assumptions!$C$4)*('LCOE parameters'!$E$24*Assumptions!$C$6)</f>
        <v>17500</v>
      </c>
      <c r="S100" s="58">
        <f>('LCOE parameters'!$E$23*Assumptions!$C$4)*('LCOE parameters'!$E$24*Assumptions!$C$6)</f>
        <v>17500</v>
      </c>
      <c r="T100" s="58">
        <f>('LCOE parameters'!$E$23*Assumptions!$C$4)*('LCOE parameters'!$E$24*Assumptions!$C$6)</f>
        <v>17500</v>
      </c>
      <c r="U100" s="58">
        <f>('LCOE parameters'!$E$23*Assumptions!$C$4)*('LCOE parameters'!$E$24*Assumptions!$C$6)</f>
        <v>17500</v>
      </c>
      <c r="V100" s="58">
        <f>('LCOE parameters'!$E$23*Assumptions!$C$4)*('LCOE parameters'!$E$24*Assumptions!$C$6)</f>
        <v>17500</v>
      </c>
      <c r="W100" s="58">
        <f>('LCOE parameters'!$E$23*Assumptions!$C$4)*('LCOE parameters'!$E$24*Assumptions!$C$6)</f>
        <v>17500</v>
      </c>
      <c r="X100" s="58">
        <f>('LCOE parameters'!$E$23*Assumptions!$C$4)*('LCOE parameters'!$E$24*Assumptions!$C$6)</f>
        <v>17500</v>
      </c>
      <c r="Y100" s="58">
        <f>('LCOE parameters'!$E$23*Assumptions!$C$4)*('LCOE parameters'!$E$24*Assumptions!$C$6)</f>
        <v>17500</v>
      </c>
      <c r="Z100" s="58">
        <f>('LCOE parameters'!$E$23*Assumptions!$C$4)*('LCOE parameters'!$E$24*Assumptions!$C$6)</f>
        <v>17500</v>
      </c>
      <c r="AA100" s="58">
        <f>('LCOE parameters'!$E$23*Assumptions!$C$4)*('LCOE parameters'!$E$24*Assumptions!$C$6)</f>
        <v>17500</v>
      </c>
    </row>
    <row r="101" spans="1:68">
      <c r="A101" s="58" t="s">
        <v>166</v>
      </c>
      <c r="B101" s="64">
        <f>('LCOE parameters'!$E$28*Assumptions!$C$10)</f>
        <v>4.2999999999999997E-2</v>
      </c>
      <c r="C101" s="64">
        <f>('LCOE parameters'!$E$28*Assumptions!$C$10)</f>
        <v>4.2999999999999997E-2</v>
      </c>
      <c r="D101" s="64">
        <f>('LCOE parameters'!$E$28*Assumptions!$C$10)</f>
        <v>4.2999999999999997E-2</v>
      </c>
      <c r="E101" s="64">
        <f>('LCOE parameters'!$E$28*Assumptions!$C$10)</f>
        <v>4.2999999999999997E-2</v>
      </c>
      <c r="F101" s="64">
        <f>('LCOE parameters'!$E$28*Assumptions!$C$10)</f>
        <v>4.2999999999999997E-2</v>
      </c>
      <c r="G101" s="64">
        <f>('LCOE parameters'!$E$28*Assumptions!$C$10)</f>
        <v>4.2999999999999997E-2</v>
      </c>
      <c r="H101" s="64">
        <f>('LCOE parameters'!$E$28*Assumptions!$C$10)</f>
        <v>4.2999999999999997E-2</v>
      </c>
      <c r="I101" s="64">
        <f>('LCOE parameters'!$E$28*Assumptions!$C$10)</f>
        <v>4.2999999999999997E-2</v>
      </c>
      <c r="J101" s="64">
        <f>('LCOE parameters'!$E$28*Assumptions!$C$10)</f>
        <v>4.2999999999999997E-2</v>
      </c>
      <c r="K101" s="64">
        <f>('LCOE parameters'!$E$28*Assumptions!$C$10)</f>
        <v>4.2999999999999997E-2</v>
      </c>
      <c r="L101" s="64">
        <f>('LCOE parameters'!$E$28*Assumptions!$C$10)</f>
        <v>4.2999999999999997E-2</v>
      </c>
      <c r="M101" s="64">
        <f>('LCOE parameters'!$E$28*Assumptions!$C$10)</f>
        <v>4.2999999999999997E-2</v>
      </c>
      <c r="N101" s="64">
        <f>('LCOE parameters'!$E$28*Assumptions!$C$10)</f>
        <v>4.2999999999999997E-2</v>
      </c>
      <c r="O101" s="64">
        <f>('LCOE parameters'!$E$28*Assumptions!$C$10)</f>
        <v>4.2999999999999997E-2</v>
      </c>
      <c r="P101" s="64">
        <f>('LCOE parameters'!$E$28*Assumptions!$C$10)</f>
        <v>4.2999999999999997E-2</v>
      </c>
      <c r="Q101" s="64">
        <f>('LCOE parameters'!$E$28*Assumptions!$C$10)</f>
        <v>4.2999999999999997E-2</v>
      </c>
      <c r="R101" s="64">
        <f>('LCOE parameters'!$E$28*Assumptions!$C$10)</f>
        <v>4.2999999999999997E-2</v>
      </c>
      <c r="S101" s="64">
        <f>('LCOE parameters'!$E$28*Assumptions!$C$10)</f>
        <v>4.2999999999999997E-2</v>
      </c>
      <c r="T101" s="64">
        <f>('LCOE parameters'!$E$28*Assumptions!$C$10)</f>
        <v>4.2999999999999997E-2</v>
      </c>
      <c r="U101" s="64">
        <f>('LCOE parameters'!$E$28*Assumptions!$C$10)</f>
        <v>4.2999999999999997E-2</v>
      </c>
      <c r="V101" s="64">
        <f>('LCOE parameters'!$E$28*Assumptions!$C$10)</f>
        <v>4.2999999999999997E-2</v>
      </c>
      <c r="W101" s="64">
        <f>('LCOE parameters'!$E$28*Assumptions!$C$10)</f>
        <v>4.2999999999999997E-2</v>
      </c>
      <c r="X101" s="64">
        <f>('LCOE parameters'!$E$28*Assumptions!$C$10)</f>
        <v>4.2999999999999997E-2</v>
      </c>
      <c r="Y101" s="64">
        <f>('LCOE parameters'!$E$28*Assumptions!$C$10)</f>
        <v>4.2999999999999997E-2</v>
      </c>
      <c r="Z101" s="64">
        <f>('LCOE parameters'!$E$28*Assumptions!$C$10)</f>
        <v>4.2999999999999997E-2</v>
      </c>
      <c r="AA101" s="64">
        <f>('LCOE parameters'!$E$28*Assumptions!$C$10)</f>
        <v>4.2999999999999997E-2</v>
      </c>
    </row>
    <row r="102" spans="1:68" s="64" customFormat="1">
      <c r="A102" s="64" t="s">
        <v>173</v>
      </c>
      <c r="B102" s="64">
        <f>('LCOE parameters'!$E$29*Assumptions!$C$11)</f>
        <v>4.2999999999999997E-2</v>
      </c>
      <c r="C102" s="64">
        <f>('LCOE parameters'!$E$29*Assumptions!$C$11)</f>
        <v>4.2999999999999997E-2</v>
      </c>
      <c r="D102" s="64">
        <f>('LCOE parameters'!$E$29*Assumptions!$C$11)</f>
        <v>4.2999999999999997E-2</v>
      </c>
      <c r="E102" s="64">
        <f>('LCOE parameters'!$E$29*Assumptions!$C$11)</f>
        <v>4.2999999999999997E-2</v>
      </c>
      <c r="F102" s="64">
        <f>('LCOE parameters'!$E$29*Assumptions!$C$11)</f>
        <v>4.2999999999999997E-2</v>
      </c>
      <c r="G102" s="64">
        <f>('LCOE parameters'!$E$29*Assumptions!$C$11)</f>
        <v>4.2999999999999997E-2</v>
      </c>
      <c r="H102" s="64">
        <f>('LCOE parameters'!$E$29*Assumptions!$C$11)</f>
        <v>4.2999999999999997E-2</v>
      </c>
      <c r="I102" s="64">
        <f>('LCOE parameters'!$E$29*Assumptions!$C$11)</f>
        <v>4.2999999999999997E-2</v>
      </c>
      <c r="J102" s="64">
        <f>('LCOE parameters'!$E$29*Assumptions!$C$11)</f>
        <v>4.2999999999999997E-2</v>
      </c>
      <c r="K102" s="64">
        <f>('LCOE parameters'!$E$29*Assumptions!$C$11)</f>
        <v>4.2999999999999997E-2</v>
      </c>
      <c r="L102" s="64">
        <f>('LCOE parameters'!$E$29*Assumptions!$C$11)</f>
        <v>4.2999999999999997E-2</v>
      </c>
      <c r="M102" s="64">
        <f>('LCOE parameters'!$E$29*Assumptions!$C$11)</f>
        <v>4.2999999999999997E-2</v>
      </c>
      <c r="N102" s="64">
        <f>('LCOE parameters'!$E$29*Assumptions!$C$11)</f>
        <v>4.2999999999999997E-2</v>
      </c>
      <c r="O102" s="64">
        <f>('LCOE parameters'!$E$29*Assumptions!$C$11)</f>
        <v>4.2999999999999997E-2</v>
      </c>
      <c r="P102" s="64">
        <f>('LCOE parameters'!$E$29*Assumptions!$C$11)</f>
        <v>4.2999999999999997E-2</v>
      </c>
      <c r="Q102" s="64">
        <f>('LCOE parameters'!$E$29*Assumptions!$C$11)</f>
        <v>4.2999999999999997E-2</v>
      </c>
      <c r="R102" s="64">
        <f>('LCOE parameters'!$E$29*Assumptions!$C$11)</f>
        <v>4.2999999999999997E-2</v>
      </c>
      <c r="S102" s="64">
        <f>('LCOE parameters'!$E$29*Assumptions!$C$11)</f>
        <v>4.2999999999999997E-2</v>
      </c>
      <c r="T102" s="64">
        <f>('LCOE parameters'!$E$29*Assumptions!$C$11)</f>
        <v>4.2999999999999997E-2</v>
      </c>
      <c r="U102" s="64">
        <f>('LCOE parameters'!$E$29*Assumptions!$C$11)</f>
        <v>4.2999999999999997E-2</v>
      </c>
      <c r="V102" s="64">
        <f>('LCOE parameters'!$E$29*Assumptions!$C$11)</f>
        <v>4.2999999999999997E-2</v>
      </c>
      <c r="W102" s="64">
        <f>('LCOE parameters'!$E$29*Assumptions!$C$11)</f>
        <v>4.2999999999999997E-2</v>
      </c>
      <c r="X102" s="64">
        <f>('LCOE parameters'!$E$29*Assumptions!$C$11)</f>
        <v>4.2999999999999997E-2</v>
      </c>
      <c r="Y102" s="64">
        <f>('LCOE parameters'!$E$29*Assumptions!$C$11)</f>
        <v>4.2999999999999997E-2</v>
      </c>
      <c r="Z102" s="64">
        <f>('LCOE parameters'!$E$29*Assumptions!$C$11)</f>
        <v>4.2999999999999997E-2</v>
      </c>
      <c r="AA102" s="64">
        <f>('LCOE parameters'!$E$29*Assumptions!$C$11)</f>
        <v>4.2999999999999997E-2</v>
      </c>
    </row>
    <row r="103" spans="1:68">
      <c r="A103" s="58" t="s">
        <v>151</v>
      </c>
      <c r="B103" s="58">
        <f>'LCOE parameters'!$E$42</f>
        <v>25</v>
      </c>
      <c r="C103" s="58">
        <f>'LCOE parameters'!$E$42</f>
        <v>25</v>
      </c>
      <c r="D103" s="58">
        <f>'LCOE parameters'!$E$42</f>
        <v>25</v>
      </c>
      <c r="E103" s="58">
        <f>'LCOE parameters'!$E$42</f>
        <v>25</v>
      </c>
      <c r="F103" s="58">
        <f>'LCOE parameters'!$E$42</f>
        <v>25</v>
      </c>
      <c r="G103" s="58">
        <f>'LCOE parameters'!$E$42</f>
        <v>25</v>
      </c>
      <c r="H103" s="58">
        <f>'LCOE parameters'!$E$42</f>
        <v>25</v>
      </c>
      <c r="I103" s="58">
        <f>'LCOE parameters'!$E$42</f>
        <v>25</v>
      </c>
      <c r="J103" s="58">
        <f>'LCOE parameters'!$E$42</f>
        <v>25</v>
      </c>
      <c r="K103" s="58">
        <f>'LCOE parameters'!$E$42</f>
        <v>25</v>
      </c>
      <c r="L103" s="58">
        <f>'LCOE parameters'!$E$42</f>
        <v>25</v>
      </c>
      <c r="M103" s="58">
        <f>'LCOE parameters'!$E$42</f>
        <v>25</v>
      </c>
      <c r="N103" s="58">
        <f>'LCOE parameters'!$E$42</f>
        <v>25</v>
      </c>
      <c r="O103" s="58">
        <f>'LCOE parameters'!$E$42</f>
        <v>25</v>
      </c>
      <c r="P103" s="58">
        <f>'LCOE parameters'!$E$42</f>
        <v>25</v>
      </c>
      <c r="Q103" s="58">
        <f>'LCOE parameters'!$E$42</f>
        <v>25</v>
      </c>
      <c r="R103" s="58">
        <f>'LCOE parameters'!$E$42</f>
        <v>25</v>
      </c>
      <c r="S103" s="58">
        <f>'LCOE parameters'!$E$42</f>
        <v>25</v>
      </c>
      <c r="T103" s="58">
        <f>'LCOE parameters'!$E$42</f>
        <v>25</v>
      </c>
      <c r="U103" s="58">
        <f>'LCOE parameters'!$E$42</f>
        <v>25</v>
      </c>
      <c r="V103" s="58">
        <f>'LCOE parameters'!$E$42</f>
        <v>25</v>
      </c>
      <c r="W103" s="58">
        <f>'LCOE parameters'!$E$42</f>
        <v>25</v>
      </c>
      <c r="X103" s="58">
        <f>'LCOE parameters'!$E$42</f>
        <v>25</v>
      </c>
      <c r="Y103" s="58">
        <f>'LCOE parameters'!$E$42</f>
        <v>25</v>
      </c>
      <c r="Z103" s="58">
        <f>'LCOE parameters'!$E$42</f>
        <v>25</v>
      </c>
      <c r="AA103" s="58">
        <f>'LCOE parameters'!$E$42</f>
        <v>25</v>
      </c>
    </row>
    <row r="104" spans="1:68">
      <c r="A104" s="58" t="s">
        <v>160</v>
      </c>
      <c r="B104" s="58">
        <f>SUM(B90:B94,B96:B97,B99)/((1+B102)^B88)</f>
        <v>524209.58493364078</v>
      </c>
      <c r="C104" s="58">
        <f>SUM(C90:C94,C96:C98)/((1+C102)^C88)</f>
        <v>533077.66059443913</v>
      </c>
      <c r="D104" s="58">
        <f t="shared" ref="D104:AA104" si="17">SUM(D90:D94,D96:D98)/((1+D102)^D88)</f>
        <v>502309.41978160583</v>
      </c>
      <c r="E104" s="58">
        <f t="shared" si="17"/>
        <v>473172.09380161267</v>
      </c>
      <c r="F104" s="58">
        <f t="shared" si="17"/>
        <v>445583.50275503146</v>
      </c>
      <c r="G104" s="58">
        <f t="shared" si="17"/>
        <v>419465.47080098698</v>
      </c>
      <c r="H104" s="58">
        <f t="shared" si="17"/>
        <v>394743.63568457338</v>
      </c>
      <c r="I104" s="58">
        <f t="shared" si="17"/>
        <v>371347.26716394752</v>
      </c>
      <c r="J104" s="58">
        <f t="shared" si="17"/>
        <v>349209.09392702574</v>
      </c>
      <c r="K104" s="58">
        <f t="shared" si="17"/>
        <v>328265.13860639505</v>
      </c>
      <c r="L104" s="58">
        <f t="shared" si="17"/>
        <v>308454.56051889027</v>
      </c>
      <c r="M104" s="58">
        <f t="shared" si="17"/>
        <v>289719.50577332894</v>
      </c>
      <c r="N104" s="58">
        <f t="shared" si="17"/>
        <v>272004.96440615738</v>
      </c>
      <c r="O104" s="58">
        <f t="shared" si="17"/>
        <v>255258.63422029649</v>
      </c>
      <c r="P104" s="58">
        <f t="shared" si="17"/>
        <v>239430.79101730214</v>
      </c>
      <c r="Q104" s="58">
        <f t="shared" si="17"/>
        <v>224474.16492711377</v>
      </c>
      <c r="R104" s="58">
        <f t="shared" si="17"/>
        <v>210343.8225531826</v>
      </c>
      <c r="S104" s="58">
        <f t="shared" si="17"/>
        <v>196997.0546636759</v>
      </c>
      <c r="T104" s="58">
        <f t="shared" si="17"/>
        <v>184393.26917177415</v>
      </c>
      <c r="U104" s="58">
        <f t="shared" si="17"/>
        <v>172493.88915984205</v>
      </c>
      <c r="V104" s="58">
        <f t="shared" si="17"/>
        <v>161262.25571348256</v>
      </c>
      <c r="W104" s="58">
        <f t="shared" si="17"/>
        <v>150663.53534220517</v>
      </c>
      <c r="X104" s="58">
        <f t="shared" si="17"/>
        <v>140664.63177367215</v>
      </c>
      <c r="Y104" s="58">
        <f t="shared" si="17"/>
        <v>131234.10191825792</v>
      </c>
      <c r="Z104" s="58">
        <f t="shared" si="17"/>
        <v>122342.07580998265</v>
      </c>
      <c r="AA104" s="58">
        <f t="shared" si="17"/>
        <v>113960.18033878408</v>
      </c>
    </row>
    <row r="105" spans="1:68">
      <c r="A105" s="58" t="s">
        <v>159</v>
      </c>
      <c r="B105" s="58">
        <f>SUM(B90:B94,B96:B97)/((1+B102)^B88)</f>
        <v>122083.05983550705</v>
      </c>
      <c r="C105" s="58">
        <f>SUM(C90:C94,C96:C97)/((1+C102)^C88)</f>
        <v>533077.66059443913</v>
      </c>
      <c r="D105" s="58">
        <f t="shared" ref="D105:AA105" si="18">SUM(D90:D94,D96:D97)/((1+D102)^D88)</f>
        <v>502309.41978160583</v>
      </c>
      <c r="E105" s="58">
        <f t="shared" si="18"/>
        <v>473172.09380161267</v>
      </c>
      <c r="F105" s="58">
        <f t="shared" si="18"/>
        <v>445583.50275503146</v>
      </c>
      <c r="G105" s="58">
        <f t="shared" si="18"/>
        <v>419465.47080098698</v>
      </c>
      <c r="H105" s="58">
        <f t="shared" si="18"/>
        <v>394743.63568457338</v>
      </c>
      <c r="I105" s="58">
        <f t="shared" si="18"/>
        <v>371347.26716394752</v>
      </c>
      <c r="J105" s="58">
        <f t="shared" si="18"/>
        <v>349209.09392702574</v>
      </c>
      <c r="K105" s="58">
        <f t="shared" si="18"/>
        <v>328265.13860639505</v>
      </c>
      <c r="L105" s="58">
        <f t="shared" si="18"/>
        <v>308454.56051889027</v>
      </c>
      <c r="M105" s="58">
        <f t="shared" si="18"/>
        <v>289719.50577332894</v>
      </c>
      <c r="N105" s="58">
        <f t="shared" si="18"/>
        <v>272004.96440615738</v>
      </c>
      <c r="O105" s="58">
        <f t="shared" si="18"/>
        <v>255258.63422029649</v>
      </c>
      <c r="P105" s="58">
        <f t="shared" si="18"/>
        <v>239430.79101730214</v>
      </c>
      <c r="Q105" s="58">
        <f t="shared" si="18"/>
        <v>224474.16492711377</v>
      </c>
      <c r="R105" s="58">
        <f t="shared" si="18"/>
        <v>210343.8225531826</v>
      </c>
      <c r="S105" s="58">
        <f t="shared" si="18"/>
        <v>196997.0546636759</v>
      </c>
      <c r="T105" s="58">
        <f t="shared" si="18"/>
        <v>184393.26917177415</v>
      </c>
      <c r="U105" s="58">
        <f t="shared" si="18"/>
        <v>172493.88915984205</v>
      </c>
      <c r="V105" s="58">
        <f t="shared" si="18"/>
        <v>161262.25571348256</v>
      </c>
      <c r="W105" s="58">
        <f t="shared" si="18"/>
        <v>150663.53534220517</v>
      </c>
      <c r="X105" s="58">
        <f t="shared" si="18"/>
        <v>140664.63177367215</v>
      </c>
      <c r="Y105" s="58">
        <f t="shared" si="18"/>
        <v>131234.10191825792</v>
      </c>
      <c r="Z105" s="58">
        <f t="shared" si="18"/>
        <v>122342.07580998265</v>
      </c>
      <c r="AA105" s="58">
        <f t="shared" si="18"/>
        <v>113960.18033878408</v>
      </c>
    </row>
    <row r="106" spans="1:68">
      <c r="A106" s="58" t="s">
        <v>162</v>
      </c>
      <c r="B106" s="58">
        <f>SUM(B90:B97,B99)/((1+B102)^B88)</f>
        <v>524209.58493364078</v>
      </c>
      <c r="C106" s="58">
        <f>SUM(C90:C98)/((1+C102)^C88)</f>
        <v>533077.66059443913</v>
      </c>
      <c r="D106" s="58">
        <f t="shared" ref="D106:AA106" si="19">SUM(D90:D98)/((1+D102)^D88)</f>
        <v>502309.41978160583</v>
      </c>
      <c r="E106" s="58">
        <f t="shared" si="19"/>
        <v>473172.09380161267</v>
      </c>
      <c r="F106" s="58">
        <f t="shared" si="19"/>
        <v>445583.50275503146</v>
      </c>
      <c r="G106" s="58">
        <f t="shared" si="19"/>
        <v>419465.47080098698</v>
      </c>
      <c r="H106" s="58">
        <f t="shared" si="19"/>
        <v>394743.63568457338</v>
      </c>
      <c r="I106" s="58">
        <f t="shared" si="19"/>
        <v>371347.26716394752</v>
      </c>
      <c r="J106" s="58">
        <f t="shared" si="19"/>
        <v>349209.09392702574</v>
      </c>
      <c r="K106" s="58">
        <f t="shared" si="19"/>
        <v>328265.13860639505</v>
      </c>
      <c r="L106" s="58">
        <f t="shared" si="19"/>
        <v>308454.56051889027</v>
      </c>
      <c r="M106" s="58">
        <f t="shared" si="19"/>
        <v>289719.50577332894</v>
      </c>
      <c r="N106" s="58">
        <f t="shared" si="19"/>
        <v>272004.96440615738</v>
      </c>
      <c r="O106" s="58">
        <f t="shared" si="19"/>
        <v>255258.63422029649</v>
      </c>
      <c r="P106" s="58">
        <f t="shared" si="19"/>
        <v>239430.79101730214</v>
      </c>
      <c r="Q106" s="58">
        <f t="shared" si="19"/>
        <v>224474.16492711377</v>
      </c>
      <c r="R106" s="58">
        <f t="shared" si="19"/>
        <v>210343.8225531826</v>
      </c>
      <c r="S106" s="58">
        <f t="shared" si="19"/>
        <v>196997.0546636759</v>
      </c>
      <c r="T106" s="58">
        <f t="shared" si="19"/>
        <v>184393.26917177415</v>
      </c>
      <c r="U106" s="58">
        <f t="shared" si="19"/>
        <v>172493.88915984205</v>
      </c>
      <c r="V106" s="58">
        <f t="shared" si="19"/>
        <v>161262.25571348256</v>
      </c>
      <c r="W106" s="58">
        <f t="shared" si="19"/>
        <v>150663.53534220517</v>
      </c>
      <c r="X106" s="58">
        <f t="shared" si="19"/>
        <v>140664.63177367215</v>
      </c>
      <c r="Y106" s="58">
        <f t="shared" si="19"/>
        <v>131234.10191825792</v>
      </c>
      <c r="Z106" s="58">
        <f t="shared" si="19"/>
        <v>122342.07580998265</v>
      </c>
      <c r="AA106" s="58">
        <f t="shared" si="19"/>
        <v>113960.18033878408</v>
      </c>
    </row>
    <row r="107" spans="1:68">
      <c r="A107" s="58" t="s">
        <v>161</v>
      </c>
      <c r="B107" s="58">
        <f>SUM(B90:B97)/((1+B102)^B88)</f>
        <v>122083.05983550705</v>
      </c>
      <c r="C107" s="58">
        <f>SUM(C90:C97)/((1+C102)^C88)</f>
        <v>533077.66059443913</v>
      </c>
      <c r="D107" s="58">
        <f t="shared" ref="D107:AA107" si="20">SUM(D90:D97)/((1+D102)^D88)</f>
        <v>502309.41978160583</v>
      </c>
      <c r="E107" s="58">
        <f t="shared" si="20"/>
        <v>473172.09380161267</v>
      </c>
      <c r="F107" s="58">
        <f t="shared" si="20"/>
        <v>445583.50275503146</v>
      </c>
      <c r="G107" s="58">
        <f t="shared" si="20"/>
        <v>419465.47080098698</v>
      </c>
      <c r="H107" s="58">
        <f t="shared" si="20"/>
        <v>394743.63568457338</v>
      </c>
      <c r="I107" s="58">
        <f t="shared" si="20"/>
        <v>371347.26716394752</v>
      </c>
      <c r="J107" s="58">
        <f t="shared" si="20"/>
        <v>349209.09392702574</v>
      </c>
      <c r="K107" s="58">
        <f t="shared" si="20"/>
        <v>328265.13860639505</v>
      </c>
      <c r="L107" s="58">
        <f t="shared" si="20"/>
        <v>308454.56051889027</v>
      </c>
      <c r="M107" s="58">
        <f t="shared" si="20"/>
        <v>289719.50577332894</v>
      </c>
      <c r="N107" s="58">
        <f t="shared" si="20"/>
        <v>272004.96440615738</v>
      </c>
      <c r="O107" s="58">
        <f t="shared" si="20"/>
        <v>255258.63422029649</v>
      </c>
      <c r="P107" s="58">
        <f t="shared" si="20"/>
        <v>239430.79101730214</v>
      </c>
      <c r="Q107" s="58">
        <f t="shared" si="20"/>
        <v>224474.16492711377</v>
      </c>
      <c r="R107" s="58">
        <f t="shared" si="20"/>
        <v>210343.8225531826</v>
      </c>
      <c r="S107" s="58">
        <f t="shared" si="20"/>
        <v>196997.0546636759</v>
      </c>
      <c r="T107" s="58">
        <f t="shared" si="20"/>
        <v>184393.26917177415</v>
      </c>
      <c r="U107" s="58">
        <f t="shared" si="20"/>
        <v>172493.88915984205</v>
      </c>
      <c r="V107" s="58">
        <f t="shared" si="20"/>
        <v>161262.25571348256</v>
      </c>
      <c r="W107" s="58">
        <f t="shared" si="20"/>
        <v>150663.53534220517</v>
      </c>
      <c r="X107" s="58">
        <f t="shared" si="20"/>
        <v>140664.63177367215</v>
      </c>
      <c r="Y107" s="58">
        <f t="shared" si="20"/>
        <v>131234.10191825792</v>
      </c>
      <c r="Z107" s="58">
        <f t="shared" si="20"/>
        <v>122342.07580998265</v>
      </c>
      <c r="AA107" s="58">
        <f t="shared" si="20"/>
        <v>113960.18033878408</v>
      </c>
    </row>
    <row r="108" spans="1:68">
      <c r="A108" s="58" t="s">
        <v>163</v>
      </c>
      <c r="B108" s="58">
        <f>B100/((1+B102)^B88)</f>
        <v>0</v>
      </c>
      <c r="C108" s="65">
        <f>C100/((1+C102)^C88)</f>
        <v>16778.523489932886</v>
      </c>
      <c r="D108" s="58">
        <f t="shared" ref="D108:AA108" si="21">D100/((1+D102)^D88)</f>
        <v>16086.791457270267</v>
      </c>
      <c r="E108" s="58">
        <f t="shared" si="21"/>
        <v>15423.577619626336</v>
      </c>
      <c r="F108" s="58">
        <f t="shared" si="21"/>
        <v>14787.706250840209</v>
      </c>
      <c r="G108" s="58">
        <f t="shared" si="21"/>
        <v>14178.050096682846</v>
      </c>
      <c r="H108" s="58">
        <f t="shared" si="21"/>
        <v>13593.528376493621</v>
      </c>
      <c r="I108" s="58">
        <f t="shared" si="21"/>
        <v>13033.104867203858</v>
      </c>
      <c r="J108" s="58">
        <f t="shared" si="21"/>
        <v>12495.786066350774</v>
      </c>
      <c r="K108" s="58">
        <f t="shared" si="21"/>
        <v>11980.619430825289</v>
      </c>
      <c r="L108" s="58">
        <f t="shared" si="21"/>
        <v>11486.691688231342</v>
      </c>
      <c r="M108" s="58">
        <f t="shared" si="21"/>
        <v>11013.127217863224</v>
      </c>
      <c r="N108" s="58">
        <f t="shared" si="21"/>
        <v>10559.086498430705</v>
      </c>
      <c r="O108" s="58">
        <f t="shared" si="21"/>
        <v>10123.764619780159</v>
      </c>
      <c r="P108" s="58">
        <f t="shared" si="21"/>
        <v>9706.3898559733061</v>
      </c>
      <c r="Q108" s="58">
        <f t="shared" si="21"/>
        <v>9306.2222971939682</v>
      </c>
      <c r="R108" s="58">
        <f t="shared" si="21"/>
        <v>8922.5525380574945</v>
      </c>
      <c r="S108" s="58">
        <f t="shared" si="21"/>
        <v>8554.7004199975981</v>
      </c>
      <c r="T108" s="58">
        <f t="shared" si="21"/>
        <v>8202.0138255010552</v>
      </c>
      <c r="U108" s="58">
        <f t="shared" si="21"/>
        <v>7863.8675220527857</v>
      </c>
      <c r="V108" s="58">
        <f t="shared" si="21"/>
        <v>7539.6620537418848</v>
      </c>
      <c r="W108" s="58">
        <f t="shared" si="21"/>
        <v>7228.822678563648</v>
      </c>
      <c r="X108" s="58">
        <f t="shared" si="21"/>
        <v>6930.7983495336994</v>
      </c>
      <c r="Y108" s="58">
        <f t="shared" si="21"/>
        <v>6645.0607378079594</v>
      </c>
      <c r="Z108" s="58">
        <f t="shared" si="21"/>
        <v>6371.1032960766615</v>
      </c>
      <c r="AA108" s="58">
        <f t="shared" si="21"/>
        <v>6108.4403605720636</v>
      </c>
    </row>
    <row r="109" spans="1:68">
      <c r="D109" s="63"/>
    </row>
    <row r="110" spans="1:68">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row>
    <row r="111" spans="1:68">
      <c r="B111" s="59" t="s">
        <v>148</v>
      </c>
    </row>
    <row r="112" spans="1:68">
      <c r="B112" s="58" t="s">
        <v>168</v>
      </c>
      <c r="C112" s="58" t="s">
        <v>169</v>
      </c>
    </row>
    <row r="113" spans="1:27">
      <c r="A113" s="58" t="s">
        <v>269</v>
      </c>
      <c r="B113" s="58">
        <v>-1</v>
      </c>
      <c r="C113" s="58">
        <v>1</v>
      </c>
      <c r="D113" s="58">
        <v>2</v>
      </c>
      <c r="E113" s="58">
        <v>3</v>
      </c>
      <c r="F113" s="58">
        <v>4</v>
      </c>
      <c r="G113" s="58">
        <v>5</v>
      </c>
      <c r="H113" s="58">
        <v>6</v>
      </c>
      <c r="I113" s="58">
        <v>7</v>
      </c>
      <c r="J113" s="58">
        <v>8</v>
      </c>
      <c r="K113" s="58">
        <v>9</v>
      </c>
      <c r="L113" s="58">
        <v>10</v>
      </c>
      <c r="M113" s="58">
        <v>11</v>
      </c>
      <c r="N113" s="58">
        <v>12</v>
      </c>
      <c r="O113" s="58">
        <v>13</v>
      </c>
      <c r="P113" s="58">
        <v>14</v>
      </c>
      <c r="Q113" s="58">
        <v>15</v>
      </c>
      <c r="R113" s="58">
        <v>16</v>
      </c>
      <c r="S113" s="58">
        <v>17</v>
      </c>
      <c r="T113" s="58">
        <v>18</v>
      </c>
      <c r="U113" s="58">
        <v>19</v>
      </c>
      <c r="V113" s="58">
        <v>20</v>
      </c>
      <c r="W113" s="58">
        <v>21</v>
      </c>
      <c r="X113" s="58">
        <v>22</v>
      </c>
      <c r="Y113" s="58">
        <v>23</v>
      </c>
      <c r="Z113" s="58">
        <v>24</v>
      </c>
      <c r="AA113" s="58">
        <v>25</v>
      </c>
    </row>
    <row r="114" spans="1:27">
      <c r="A114" s="58" t="s">
        <v>167</v>
      </c>
      <c r="B114" s="58">
        <f>('LCOE parameters'!$F$27*Assumptions!$D$9)*('LCOE parameters'!$F$23*Assumptions!$D$4)</f>
        <v>2133000</v>
      </c>
      <c r="AA114" s="58">
        <f>('LCOE parameters'!$F$27*Assumptions!$D$9)*('LCOE parameters'!$F$23*Assumptions!$D$4)/$C$128</f>
        <v>85320</v>
      </c>
    </row>
    <row r="115" spans="1:27">
      <c r="A115" s="58" t="s">
        <v>170</v>
      </c>
      <c r="C115" s="58">
        <f>('LCOE parameters'!$F$27*Assumptions!$D$9)*('LCOE parameters'!$F$23*Assumptions!$D$4)/C128</f>
        <v>85320</v>
      </c>
      <c r="D115" s="58">
        <f>('LCOE parameters'!$F$27*Assumptions!$D$9)*('LCOE parameters'!$F$23*Assumptions!$D$4)/D128</f>
        <v>85320</v>
      </c>
      <c r="E115" s="58">
        <f>('LCOE parameters'!$F$27*Assumptions!$D$9)*('LCOE parameters'!$F$23*Assumptions!$D$4)/E128</f>
        <v>85320</v>
      </c>
      <c r="F115" s="58">
        <f>('LCOE parameters'!$F$27*Assumptions!$D$9)*('LCOE parameters'!$F$23*Assumptions!$D$4)/F128</f>
        <v>85320</v>
      </c>
      <c r="G115" s="58">
        <f>('LCOE parameters'!$F$27*Assumptions!$D$9)*('LCOE parameters'!$F$23*Assumptions!$D$4)/G128</f>
        <v>85320</v>
      </c>
      <c r="H115" s="58">
        <f>('LCOE parameters'!$F$27*Assumptions!$D$9)*('LCOE parameters'!$F$23*Assumptions!$D$4)/H128</f>
        <v>85320</v>
      </c>
      <c r="I115" s="58">
        <f>('LCOE parameters'!$F$27*Assumptions!$D$9)*('LCOE parameters'!$F$23*Assumptions!$D$4)/I128</f>
        <v>85320</v>
      </c>
      <c r="J115" s="58">
        <f>('LCOE parameters'!$F$27*Assumptions!$D$9)*('LCOE parameters'!$F$23*Assumptions!$D$4)/J128</f>
        <v>85320</v>
      </c>
      <c r="K115" s="58">
        <f>('LCOE parameters'!$F$27*Assumptions!$D$9)*('LCOE parameters'!$F$23*Assumptions!$D$4)/K128</f>
        <v>85320</v>
      </c>
      <c r="L115" s="58">
        <f>('LCOE parameters'!$F$27*Assumptions!$D$9)*('LCOE parameters'!$F$23*Assumptions!$D$4)/L128</f>
        <v>85320</v>
      </c>
      <c r="M115" s="58">
        <f>('LCOE parameters'!$F$27*Assumptions!$D$9)*('LCOE parameters'!$F$23*Assumptions!$D$4)/M128</f>
        <v>85320</v>
      </c>
      <c r="N115" s="58">
        <f>('LCOE parameters'!$F$27*Assumptions!$D$9)*('LCOE parameters'!$F$23*Assumptions!$D$4)/N128</f>
        <v>85320</v>
      </c>
      <c r="O115" s="58">
        <f>('LCOE parameters'!$F$27*Assumptions!$D$9)*('LCOE parameters'!$F$23*Assumptions!$D$4)/O128</f>
        <v>85320</v>
      </c>
      <c r="P115" s="58">
        <f>('LCOE parameters'!$F$27*Assumptions!$D$9)*('LCOE parameters'!$F$23*Assumptions!$D$4)/P128</f>
        <v>85320</v>
      </c>
      <c r="Q115" s="58">
        <f>('LCOE parameters'!$F$27*Assumptions!$D$9)*('LCOE parameters'!$F$23*Assumptions!$D$4)/Q128</f>
        <v>85320</v>
      </c>
      <c r="R115" s="58">
        <f>('LCOE parameters'!$F$27*Assumptions!$D$9)*('LCOE parameters'!$F$23*Assumptions!$D$4)/R128</f>
        <v>85320</v>
      </c>
      <c r="S115" s="58">
        <f>('LCOE parameters'!$F$27*Assumptions!$D$9)*('LCOE parameters'!$F$23*Assumptions!$D$4)/S128</f>
        <v>85320</v>
      </c>
      <c r="T115" s="58">
        <f>('LCOE parameters'!$F$27*Assumptions!$D$9)*('LCOE parameters'!$F$23*Assumptions!$D$4)/T128</f>
        <v>85320</v>
      </c>
      <c r="U115" s="58">
        <f>('LCOE parameters'!$F$27*Assumptions!$D$9)*('LCOE parameters'!$F$23*Assumptions!$D$4)/U128</f>
        <v>85320</v>
      </c>
      <c r="V115" s="58">
        <f>('LCOE parameters'!$F$27*Assumptions!$D$9)*('LCOE parameters'!$F$23*Assumptions!$D$4)/V128</f>
        <v>85320</v>
      </c>
      <c r="W115" s="58">
        <f>('LCOE parameters'!$F$27*Assumptions!$D$9)*('LCOE parameters'!$F$23*Assumptions!$D$4)/W128</f>
        <v>85320</v>
      </c>
      <c r="X115" s="58">
        <f>('LCOE parameters'!$F$27*Assumptions!$D$9)*('LCOE parameters'!$F$23*Assumptions!$D$4)/X128</f>
        <v>85320</v>
      </c>
      <c r="Y115" s="58">
        <f>('LCOE parameters'!$F$27*Assumptions!$D$9)*('LCOE parameters'!$F$23*Assumptions!$D$4)/Y128</f>
        <v>85320</v>
      </c>
      <c r="Z115" s="58">
        <f>('LCOE parameters'!$F$27*Assumptions!$D$9)*('LCOE parameters'!$F$23*Assumptions!$D$4)/Z128</f>
        <v>85320</v>
      </c>
      <c r="AA115" s="58">
        <f>('LCOE parameters'!$F$27*Assumptions!$D$9)*('LCOE parameters'!$F$23*Assumptions!$D$4)/AA128</f>
        <v>85320</v>
      </c>
    </row>
    <row r="116" spans="1:27">
      <c r="A116" s="58" t="s">
        <v>190</v>
      </c>
      <c r="B116" s="58">
        <f>B114*B126</f>
        <v>91718.999999999985</v>
      </c>
      <c r="C116" s="58">
        <f>$B$114*C126</f>
        <v>91718.999999999985</v>
      </c>
      <c r="D116" s="58">
        <f>SUM($B$114,-SUM(C115))*D126</f>
        <v>88050.239999999991</v>
      </c>
      <c r="E116" s="58">
        <f>SUM($B$114,-SUM(C115:D115))*E126</f>
        <v>84381.48</v>
      </c>
      <c r="F116" s="58">
        <f>SUM($B$114,-SUM(C115:E115))*F126</f>
        <v>80712.719999999987</v>
      </c>
      <c r="G116" s="58">
        <f>SUM($B$114,-SUM(C115:F115))*G126</f>
        <v>77043.959999999992</v>
      </c>
      <c r="H116" s="58">
        <f>SUM($B$114,-SUM(C115:G115))*H126</f>
        <v>73375.199999999997</v>
      </c>
      <c r="I116" s="58">
        <f>SUM($B$114,-SUM(C115:H115))*I126</f>
        <v>69706.439999999988</v>
      </c>
      <c r="J116" s="58">
        <f>SUM($B$114,-SUM(C115:I115))*J126</f>
        <v>66037.679999999993</v>
      </c>
      <c r="K116" s="58">
        <f>SUM($B$114,-SUM(C115:J115))*K126</f>
        <v>62368.92</v>
      </c>
      <c r="L116" s="58">
        <f>SUM($B$114,-SUM(C115:K115))*L126</f>
        <v>58700.159999999996</v>
      </c>
      <c r="M116" s="58">
        <f>SUM($B$114,-SUM(C115:L115))*M126</f>
        <v>55031.399999999994</v>
      </c>
      <c r="N116" s="58">
        <f>SUM($B$114,-SUM(C115:M115))*N126</f>
        <v>51362.64</v>
      </c>
      <c r="O116" s="58">
        <f>SUM($B$114,-SUM(C115:N115))*O126</f>
        <v>47693.88</v>
      </c>
      <c r="P116" s="58">
        <f>SUM($B$114,-SUM(C115:O115))*P126</f>
        <v>44025.119999999995</v>
      </c>
      <c r="Q116" s="58">
        <f>SUM($B$114,-SUM(C115:P115))*Q126</f>
        <v>40356.359999999993</v>
      </c>
      <c r="R116" s="58">
        <f>SUM($B$114,-SUM(C115:Q115))*R126</f>
        <v>36687.599999999999</v>
      </c>
      <c r="S116" s="58">
        <f>SUM($B$114,-SUM(C115:R115))*S126</f>
        <v>33018.839999999997</v>
      </c>
      <c r="T116" s="58">
        <f>SUM($B$114,-SUM(C115:S115))*T126</f>
        <v>29350.079999999998</v>
      </c>
      <c r="U116" s="58">
        <f>SUM($B$114,-SUM(C115:T115))*U126</f>
        <v>25681.32</v>
      </c>
      <c r="V116" s="58">
        <f>SUM($B$114,-SUM(C115:U115))*V126</f>
        <v>22012.559999999998</v>
      </c>
      <c r="W116" s="58">
        <f>SUM($B$114,-SUM(C115:V115))*W126</f>
        <v>18343.8</v>
      </c>
      <c r="X116" s="58">
        <f>SUM($B$114,-SUM(C115:W115))*X126</f>
        <v>14675.039999999999</v>
      </c>
      <c r="Y116" s="58">
        <f>SUM($B$114,-SUM(C115:X115))*Y126</f>
        <v>11006.279999999999</v>
      </c>
      <c r="Z116" s="58">
        <f>SUM($B$114,-SUM(C115:Y115))*Z126</f>
        <v>7337.5199999999995</v>
      </c>
      <c r="AA116" s="58">
        <f>SUM($B$114,-SUM(C115:Z115))*AA126</f>
        <v>3668.7599999999998</v>
      </c>
    </row>
    <row r="117" spans="1:27">
      <c r="A117" s="58" t="s">
        <v>191</v>
      </c>
      <c r="C117" s="58">
        <f>('LCOE parameters'!$F$30*Assumptions!$D$12)*('LCOE parameters'!$F$23*Assumptions!$D$4)</f>
        <v>53325</v>
      </c>
      <c r="D117" s="58">
        <f>('LCOE parameters'!$F$30*Assumptions!$D$12)*('LCOE parameters'!$F$23*Assumptions!$D$4)</f>
        <v>53325</v>
      </c>
      <c r="E117" s="58">
        <f>('LCOE parameters'!$F$30*Assumptions!$D$12)*('LCOE parameters'!$F$23*Assumptions!$D$4)</f>
        <v>53325</v>
      </c>
      <c r="F117" s="58">
        <f>('LCOE parameters'!$F$30*Assumptions!$D$12)*('LCOE parameters'!$F$23*Assumptions!$D$4)</f>
        <v>53325</v>
      </c>
      <c r="G117" s="58">
        <f>('LCOE parameters'!$F$30*Assumptions!$D$12)*('LCOE parameters'!$F$23*Assumptions!$D$4)</f>
        <v>53325</v>
      </c>
      <c r="H117" s="58">
        <f>('LCOE parameters'!$F$30*Assumptions!$D$12)*('LCOE parameters'!$F$23*Assumptions!$D$4)</f>
        <v>53325</v>
      </c>
      <c r="I117" s="58">
        <f>('LCOE parameters'!$F$30*Assumptions!$D$12)*('LCOE parameters'!$F$23*Assumptions!$D$4)</f>
        <v>53325</v>
      </c>
      <c r="J117" s="58">
        <f>('LCOE parameters'!$F$30*Assumptions!$D$12)*('LCOE parameters'!$F$23*Assumptions!$D$4)</f>
        <v>53325</v>
      </c>
      <c r="K117" s="58">
        <f>('LCOE parameters'!$F$30*Assumptions!$D$12)*('LCOE parameters'!$F$23*Assumptions!$D$4)</f>
        <v>53325</v>
      </c>
      <c r="L117" s="58">
        <f>('LCOE parameters'!$F$30*Assumptions!$D$12)*('LCOE parameters'!$F$23*Assumptions!$D$4)</f>
        <v>53325</v>
      </c>
      <c r="M117" s="58">
        <f>('LCOE parameters'!$F$30*Assumptions!$D$12)*('LCOE parameters'!$F$23*Assumptions!$D$4)</f>
        <v>53325</v>
      </c>
      <c r="N117" s="58">
        <f>('LCOE parameters'!$F$30*Assumptions!$D$12)*('LCOE parameters'!$F$23*Assumptions!$D$4)</f>
        <v>53325</v>
      </c>
      <c r="O117" s="58">
        <f>('LCOE parameters'!$F$30*Assumptions!$D$12)*('LCOE parameters'!$F$23*Assumptions!$D$4)</f>
        <v>53325</v>
      </c>
      <c r="P117" s="58">
        <f>('LCOE parameters'!$F$30*Assumptions!$D$12)*('LCOE parameters'!$F$23*Assumptions!$D$4)</f>
        <v>53325</v>
      </c>
      <c r="Q117" s="58">
        <f>('LCOE parameters'!$F$30*Assumptions!$D$12)*('LCOE parameters'!$F$23*Assumptions!$D$4)</f>
        <v>53325</v>
      </c>
      <c r="R117" s="58">
        <f>('LCOE parameters'!$F$30*Assumptions!$D$12)*('LCOE parameters'!$F$23*Assumptions!$D$4)</f>
        <v>53325</v>
      </c>
      <c r="S117" s="58">
        <f>('LCOE parameters'!$F$30*Assumptions!$D$12)*('LCOE parameters'!$F$23*Assumptions!$D$4)</f>
        <v>53325</v>
      </c>
      <c r="T117" s="58">
        <f>('LCOE parameters'!$F$30*Assumptions!$D$12)*('LCOE parameters'!$F$23*Assumptions!$D$4)</f>
        <v>53325</v>
      </c>
      <c r="U117" s="58">
        <f>('LCOE parameters'!$F$30*Assumptions!$D$12)*('LCOE parameters'!$F$23*Assumptions!$D$4)</f>
        <v>53325</v>
      </c>
      <c r="V117" s="58">
        <f>('LCOE parameters'!$F$30*Assumptions!$D$12)*('LCOE parameters'!$F$23*Assumptions!$D$4)</f>
        <v>53325</v>
      </c>
      <c r="W117" s="58">
        <f>('LCOE parameters'!$F$30*Assumptions!$D$12)*('LCOE parameters'!$F$23*Assumptions!$D$4)</f>
        <v>53325</v>
      </c>
      <c r="X117" s="58">
        <f>('LCOE parameters'!$F$30*Assumptions!$D$12)*('LCOE parameters'!$F$23*Assumptions!$D$4)</f>
        <v>53325</v>
      </c>
      <c r="Y117" s="58">
        <f>('LCOE parameters'!$F$30*Assumptions!$D$12)*('LCOE parameters'!$F$23*Assumptions!$D$4)</f>
        <v>53325</v>
      </c>
      <c r="Z117" s="58">
        <f>('LCOE parameters'!$F$30*Assumptions!$D$12)*('LCOE parameters'!$F$23*Assumptions!$D$4)</f>
        <v>53325</v>
      </c>
      <c r="AA117" s="58">
        <f>('LCOE parameters'!$F$30*Assumptions!$D$12)*('LCOE parameters'!$F$23*Assumptions!$D$4)</f>
        <v>53325</v>
      </c>
    </row>
    <row r="118" spans="1:27">
      <c r="A118" s="58" t="s">
        <v>192</v>
      </c>
      <c r="C118" s="58">
        <f>('LCOE parameters'!$F$31)*('LCOE parameters'!$F$24)</f>
        <v>0</v>
      </c>
      <c r="D118" s="58">
        <f>('LCOE parameters'!$F$31)*('LCOE parameters'!$F$23)*('LCOE parameters'!$F$24)</f>
        <v>0</v>
      </c>
      <c r="E118" s="58">
        <f>('LCOE parameters'!$F$31)*('LCOE parameters'!$F$23)*('LCOE parameters'!$F$24)</f>
        <v>0</v>
      </c>
      <c r="F118" s="58">
        <f>('LCOE parameters'!$F$31)*('LCOE parameters'!$F$23)*('LCOE parameters'!$F$24)</f>
        <v>0</v>
      </c>
      <c r="G118" s="58">
        <f>('LCOE parameters'!$F$31)*('LCOE parameters'!$F$23)*('LCOE parameters'!$F$24)</f>
        <v>0</v>
      </c>
      <c r="H118" s="58">
        <f>('LCOE parameters'!$F$31)*('LCOE parameters'!$F$23)*('LCOE parameters'!$F$24)</f>
        <v>0</v>
      </c>
      <c r="I118" s="58">
        <f>('LCOE parameters'!$F$31)*('LCOE parameters'!$F$23)*('LCOE parameters'!$F$24)</f>
        <v>0</v>
      </c>
      <c r="J118" s="58">
        <f>('LCOE parameters'!$F$31)*('LCOE parameters'!$F$23)*('LCOE parameters'!$F$24)</f>
        <v>0</v>
      </c>
      <c r="K118" s="58">
        <f>('LCOE parameters'!$F$31)*('LCOE parameters'!$F$23)*('LCOE parameters'!$F$24)</f>
        <v>0</v>
      </c>
      <c r="L118" s="58">
        <f>('LCOE parameters'!$F$31)*('LCOE parameters'!$F$23)*('LCOE parameters'!$F$24)</f>
        <v>0</v>
      </c>
      <c r="M118" s="58">
        <f>('LCOE parameters'!$F$31)*('LCOE parameters'!$F$23)*('LCOE parameters'!$F$24)</f>
        <v>0</v>
      </c>
      <c r="N118" s="58">
        <f>('LCOE parameters'!$F$31)*('LCOE parameters'!$F$23)*('LCOE parameters'!$F$24)</f>
        <v>0</v>
      </c>
      <c r="O118" s="58">
        <f>('LCOE parameters'!$F$31)*('LCOE parameters'!$F$23)*('LCOE parameters'!$F$24)</f>
        <v>0</v>
      </c>
      <c r="P118" s="58">
        <f>('LCOE parameters'!$F$31)*('LCOE parameters'!$F$23)*('LCOE parameters'!$F$24)</f>
        <v>0</v>
      </c>
      <c r="Q118" s="58">
        <f>('LCOE parameters'!$F$31)*('LCOE parameters'!$F$23)*('LCOE parameters'!$F$24)</f>
        <v>0</v>
      </c>
      <c r="R118" s="58">
        <f>('LCOE parameters'!$F$31)*('LCOE parameters'!$F$23)*('LCOE parameters'!$F$24)</f>
        <v>0</v>
      </c>
      <c r="S118" s="58">
        <f>('LCOE parameters'!$F$31)*('LCOE parameters'!$F$23)*('LCOE parameters'!$F$24)</f>
        <v>0</v>
      </c>
      <c r="T118" s="58">
        <f>('LCOE parameters'!$F$31)*('LCOE parameters'!$F$23)*('LCOE parameters'!$F$24)</f>
        <v>0</v>
      </c>
      <c r="U118" s="58">
        <f>('LCOE parameters'!$F$31)*('LCOE parameters'!$F$23)*('LCOE parameters'!$F$24)</f>
        <v>0</v>
      </c>
      <c r="V118" s="58">
        <f>('LCOE parameters'!$F$31)*('LCOE parameters'!$F$23)*('LCOE parameters'!$F$24)</f>
        <v>0</v>
      </c>
      <c r="W118" s="58">
        <f>('LCOE parameters'!$F$31)*('LCOE parameters'!$F$23)*('LCOE parameters'!$F$24)</f>
        <v>0</v>
      </c>
      <c r="X118" s="58">
        <f>('LCOE parameters'!$F$31)*('LCOE parameters'!$F$23)*('LCOE parameters'!$F$24)</f>
        <v>0</v>
      </c>
      <c r="Y118" s="58">
        <f>('LCOE parameters'!$F$31)*('LCOE parameters'!$F$23)*('LCOE parameters'!$F$24)</f>
        <v>0</v>
      </c>
      <c r="Z118" s="58">
        <f>('LCOE parameters'!$F$31)*('LCOE parameters'!$F$23)*('LCOE parameters'!$F$24)</f>
        <v>0</v>
      </c>
      <c r="AA118" s="58">
        <f>('LCOE parameters'!$F$31)*('LCOE parameters'!$F$23)*('LCOE parameters'!$F$24)</f>
        <v>0</v>
      </c>
    </row>
    <row r="119" spans="1:27">
      <c r="A119" s="58" t="s">
        <v>194</v>
      </c>
      <c r="C119" s="58">
        <f>'LCOE parameters'!$F$32</f>
        <v>0</v>
      </c>
      <c r="D119" s="58">
        <f>'LCOE parameters'!$F$32</f>
        <v>0</v>
      </c>
      <c r="E119" s="58">
        <f>'LCOE parameters'!$F$32</f>
        <v>0</v>
      </c>
      <c r="F119" s="58">
        <f>'LCOE parameters'!$F$32</f>
        <v>0</v>
      </c>
      <c r="G119" s="58">
        <f>'LCOE parameters'!$F$32</f>
        <v>0</v>
      </c>
      <c r="H119" s="58">
        <f>'LCOE parameters'!$F$32</f>
        <v>0</v>
      </c>
      <c r="I119" s="58">
        <f>'LCOE parameters'!$F$32</f>
        <v>0</v>
      </c>
      <c r="J119" s="58">
        <f>'LCOE parameters'!$F$32</f>
        <v>0</v>
      </c>
      <c r="K119" s="58">
        <f>'LCOE parameters'!$F$32</f>
        <v>0</v>
      </c>
      <c r="L119" s="58">
        <f>'LCOE parameters'!$F$32</f>
        <v>0</v>
      </c>
      <c r="M119" s="58">
        <f>'LCOE parameters'!$F$32</f>
        <v>0</v>
      </c>
      <c r="N119" s="58">
        <f>'LCOE parameters'!$F$32</f>
        <v>0</v>
      </c>
      <c r="O119" s="58">
        <f>'LCOE parameters'!$F$32</f>
        <v>0</v>
      </c>
      <c r="P119" s="58">
        <f>'LCOE parameters'!$F$32</f>
        <v>0</v>
      </c>
      <c r="Q119" s="58">
        <f>'LCOE parameters'!$F$32</f>
        <v>0</v>
      </c>
      <c r="R119" s="58">
        <f>'LCOE parameters'!$F$32</f>
        <v>0</v>
      </c>
      <c r="S119" s="58">
        <f>'LCOE parameters'!$F$32</f>
        <v>0</v>
      </c>
      <c r="T119" s="58">
        <f>'LCOE parameters'!$F$32</f>
        <v>0</v>
      </c>
      <c r="U119" s="58">
        <f>'LCOE parameters'!$F$32</f>
        <v>0</v>
      </c>
      <c r="V119" s="58">
        <f>'LCOE parameters'!$F$32</f>
        <v>0</v>
      </c>
      <c r="W119" s="58">
        <f>'LCOE parameters'!$F$32</f>
        <v>0</v>
      </c>
      <c r="X119" s="58">
        <f>'LCOE parameters'!$F$32</f>
        <v>0</v>
      </c>
      <c r="Y119" s="58">
        <f>'LCOE parameters'!$F$32</f>
        <v>0</v>
      </c>
      <c r="Z119" s="58">
        <f>'LCOE parameters'!$F$32</f>
        <v>0</v>
      </c>
      <c r="AA119" s="58">
        <f>'LCOE parameters'!$F$32</f>
        <v>0</v>
      </c>
    </row>
    <row r="120" spans="1:27">
      <c r="A120" s="61" t="s">
        <v>195</v>
      </c>
      <c r="B120" s="61"/>
      <c r="C120" s="58">
        <f>SUM(('LCOE parameters'!$F$33*'LCOE parameters'!$F$23*'LCOE parameters'!$F$24),('LCOE parameters'!$F$34*'LCOE parameters'!$F$23*'LCOE parameters'!$F$24),('LCOE parameters'!$F$35*'LCOE parameters'!$F$23*'LCOE parameters'!$F$24),('LCOE parameters'!$F$36*'LCOE parameters'!$F$23*'LCOE parameters'!$F$24))</f>
        <v>0</v>
      </c>
      <c r="D120" s="58">
        <f>SUM(('LCOE parameters'!$F$33*'LCOE parameters'!$F$23*'LCOE parameters'!$F$24),('LCOE parameters'!$F$34*'LCOE parameters'!$F$23*'LCOE parameters'!$F$24),('LCOE parameters'!$F$35*'LCOE parameters'!$F$23*'LCOE parameters'!$F$24),('LCOE parameters'!$F$36*'LCOE parameters'!$F$23*'LCOE parameters'!$F$24))</f>
        <v>0</v>
      </c>
      <c r="E120" s="58">
        <f>SUM(('LCOE parameters'!$F$33*'LCOE parameters'!$F$23*'LCOE parameters'!$F$24),('LCOE parameters'!$F$34*'LCOE parameters'!$F$23*'LCOE parameters'!$F$24),('LCOE parameters'!$F$35*'LCOE parameters'!$F$23*'LCOE parameters'!$F$24),('LCOE parameters'!$F$36*'LCOE parameters'!$F$23*'LCOE parameters'!$F$24))</f>
        <v>0</v>
      </c>
      <c r="F120" s="58">
        <f>SUM(('LCOE parameters'!$F$33*'LCOE parameters'!$F$23*'LCOE parameters'!$F$24),('LCOE parameters'!$F$34*'LCOE parameters'!$F$23*'LCOE parameters'!$F$24),('LCOE parameters'!$F$35*'LCOE parameters'!$F$23*'LCOE parameters'!$F$24),('LCOE parameters'!$F$36*'LCOE parameters'!$F$23*'LCOE parameters'!$F$24))</f>
        <v>0</v>
      </c>
      <c r="G120" s="58">
        <f>SUM(('LCOE parameters'!$F$33*'LCOE parameters'!$F$23*'LCOE parameters'!$F$24),('LCOE parameters'!$F$34*'LCOE parameters'!$F$23*'LCOE parameters'!$F$24),('LCOE parameters'!$F$35*'LCOE parameters'!$F$23*'LCOE parameters'!$F$24),('LCOE parameters'!$F$36*'LCOE parameters'!$F$23*'LCOE parameters'!$F$24))</f>
        <v>0</v>
      </c>
      <c r="H120" s="58">
        <f>SUM(('LCOE parameters'!$F$33*'LCOE parameters'!$F$23*'LCOE parameters'!$F$24),('LCOE parameters'!$F$34*'LCOE parameters'!$F$23*'LCOE parameters'!$F$24),('LCOE parameters'!$F$35*'LCOE parameters'!$F$23*'LCOE parameters'!$F$24),('LCOE parameters'!$F$36*'LCOE parameters'!$F$23*'LCOE parameters'!$F$24))</f>
        <v>0</v>
      </c>
      <c r="I120" s="58">
        <f>SUM(('LCOE parameters'!$F$33*'LCOE parameters'!$F$23*'LCOE parameters'!$F$24),('LCOE parameters'!$F$34*'LCOE parameters'!$F$23*'LCOE parameters'!$F$24),('LCOE parameters'!$F$35*'LCOE parameters'!$F$23*'LCOE parameters'!$F$24),('LCOE parameters'!$F$36*'LCOE parameters'!$F$23*'LCOE parameters'!$F$24))</f>
        <v>0</v>
      </c>
      <c r="J120" s="58">
        <f>SUM(('LCOE parameters'!$F$33*'LCOE parameters'!$F$23*'LCOE parameters'!$F$24),('LCOE parameters'!$F$34*'LCOE parameters'!$F$23*'LCOE parameters'!$F$24),('LCOE parameters'!$F$35*'LCOE parameters'!$F$23*'LCOE parameters'!$F$24),('LCOE parameters'!$F$36*'LCOE parameters'!$F$23*'LCOE parameters'!$F$24))</f>
        <v>0</v>
      </c>
      <c r="K120" s="58">
        <f>SUM(('LCOE parameters'!$F$33*'LCOE parameters'!$F$23*'LCOE parameters'!$F$24),('LCOE parameters'!$F$34*'LCOE parameters'!$F$23*'LCOE parameters'!$F$24),('LCOE parameters'!$F$35*'LCOE parameters'!$F$23*'LCOE parameters'!$F$24),('LCOE parameters'!$F$36*'LCOE parameters'!$F$23*'LCOE parameters'!$F$24))</f>
        <v>0</v>
      </c>
      <c r="L120" s="58">
        <f>SUM(('LCOE parameters'!$F$33*'LCOE parameters'!$F$23*'LCOE parameters'!$F$24),('LCOE parameters'!$F$34*'LCOE parameters'!$F$23*'LCOE parameters'!$F$24),('LCOE parameters'!$F$35*'LCOE parameters'!$F$23*'LCOE parameters'!$F$24),('LCOE parameters'!$F$36*'LCOE parameters'!$F$23*'LCOE parameters'!$F$24))</f>
        <v>0</v>
      </c>
      <c r="M120" s="58">
        <f>SUM(('LCOE parameters'!$F$33*'LCOE parameters'!$F$23*'LCOE parameters'!$F$24),('LCOE parameters'!$F$34*'LCOE parameters'!$F$23*'LCOE parameters'!$F$24),('LCOE parameters'!$F$35*'LCOE parameters'!$F$23*'LCOE parameters'!$F$24),('LCOE parameters'!$F$36*'LCOE parameters'!$F$23*'LCOE parameters'!$F$24))</f>
        <v>0</v>
      </c>
      <c r="N120" s="58">
        <f>SUM(('LCOE parameters'!$F$33*'LCOE parameters'!$F$23*'LCOE parameters'!$F$24),('LCOE parameters'!$F$34*'LCOE parameters'!$F$23*'LCOE parameters'!$F$24),('LCOE parameters'!$F$35*'LCOE parameters'!$F$23*'LCOE parameters'!$F$24),('LCOE parameters'!$F$36*'LCOE parameters'!$F$23*'LCOE parameters'!$F$24))</f>
        <v>0</v>
      </c>
      <c r="O120" s="58">
        <f>SUM(('LCOE parameters'!$F$33*'LCOE parameters'!$F$23*'LCOE parameters'!$F$24),('LCOE parameters'!$F$34*'LCOE parameters'!$F$23*'LCOE parameters'!$F$24),('LCOE parameters'!$F$35*'LCOE parameters'!$F$23*'LCOE parameters'!$F$24),('LCOE parameters'!$F$36*'LCOE parameters'!$F$23*'LCOE parameters'!$F$24))</f>
        <v>0</v>
      </c>
      <c r="P120" s="58">
        <f>SUM(('LCOE parameters'!$F$33*'LCOE parameters'!$F$23*'LCOE parameters'!$F$24),('LCOE parameters'!$F$34*'LCOE parameters'!$F$23*'LCOE parameters'!$F$24),('LCOE parameters'!$F$35*'LCOE parameters'!$F$23*'LCOE parameters'!$F$24),('LCOE parameters'!$F$36*'LCOE parameters'!$F$23*'LCOE parameters'!$F$24))</f>
        <v>0</v>
      </c>
      <c r="Q120" s="58">
        <f>SUM(('LCOE parameters'!$F$33*'LCOE parameters'!$F$23*'LCOE parameters'!$F$24),('LCOE parameters'!$F$34*'LCOE parameters'!$F$23*'LCOE parameters'!$F$24),('LCOE parameters'!$F$35*'LCOE parameters'!$F$23*'LCOE parameters'!$F$24),('LCOE parameters'!$F$36*'LCOE parameters'!$F$23*'LCOE parameters'!$F$24))</f>
        <v>0</v>
      </c>
      <c r="R120" s="58">
        <f>SUM(('LCOE parameters'!$F$33*'LCOE parameters'!$F$23*'LCOE parameters'!$F$24),('LCOE parameters'!$F$34*'LCOE parameters'!$F$23*'LCOE parameters'!$F$24),('LCOE parameters'!$F$35*'LCOE parameters'!$F$23*'LCOE parameters'!$F$24),('LCOE parameters'!$F$36*'LCOE parameters'!$F$23*'LCOE parameters'!$F$24))</f>
        <v>0</v>
      </c>
      <c r="S120" s="58">
        <f>SUM(('LCOE parameters'!$F$33*'LCOE parameters'!$F$23*'LCOE parameters'!$F$24),('LCOE parameters'!$F$34*'LCOE parameters'!$F$23*'LCOE parameters'!$F$24),('LCOE parameters'!$F$35*'LCOE parameters'!$F$23*'LCOE parameters'!$F$24),('LCOE parameters'!$F$36*'LCOE parameters'!$F$23*'LCOE parameters'!$F$24))</f>
        <v>0</v>
      </c>
      <c r="T120" s="58">
        <f>SUM(('LCOE parameters'!$F$33*'LCOE parameters'!$F$23*'LCOE parameters'!$F$24),('LCOE parameters'!$F$34*'LCOE parameters'!$F$23*'LCOE parameters'!$F$24),('LCOE parameters'!$F$35*'LCOE parameters'!$F$23*'LCOE parameters'!$F$24),('LCOE parameters'!$F$36*'LCOE parameters'!$F$23*'LCOE parameters'!$F$24))</f>
        <v>0</v>
      </c>
      <c r="U120" s="58">
        <f>SUM(('LCOE parameters'!$F$33*'LCOE parameters'!$F$23*'LCOE parameters'!$F$24),('LCOE parameters'!$F$34*'LCOE parameters'!$F$23*'LCOE parameters'!$F$24),('LCOE parameters'!$F$35*'LCOE parameters'!$F$23*'LCOE parameters'!$F$24),('LCOE parameters'!$F$36*'LCOE parameters'!$F$23*'LCOE parameters'!$F$24))</f>
        <v>0</v>
      </c>
      <c r="V120" s="58">
        <f>SUM(('LCOE parameters'!$F$33*'LCOE parameters'!$F$23*'LCOE parameters'!$F$24),('LCOE parameters'!$F$34*'LCOE parameters'!$F$23*'LCOE parameters'!$F$24),('LCOE parameters'!$F$35*'LCOE parameters'!$F$23*'LCOE parameters'!$F$24),('LCOE parameters'!$F$36*'LCOE parameters'!$F$23*'LCOE parameters'!$F$24))</f>
        <v>0</v>
      </c>
      <c r="W120" s="58">
        <f>SUM(('LCOE parameters'!$F$33*'LCOE parameters'!$F$23*'LCOE parameters'!$F$24),('LCOE parameters'!$F$34*'LCOE parameters'!$F$23*'LCOE parameters'!$F$24),('LCOE parameters'!$F$35*'LCOE parameters'!$F$23*'LCOE parameters'!$F$24),('LCOE parameters'!$F$36*'LCOE parameters'!$F$23*'LCOE parameters'!$F$24))</f>
        <v>0</v>
      </c>
      <c r="X120" s="58">
        <f>SUM(('LCOE parameters'!$F$33*'LCOE parameters'!$F$23*'LCOE parameters'!$F$24),('LCOE parameters'!$F$34*'LCOE parameters'!$F$23*'LCOE parameters'!$F$24),('LCOE parameters'!$F$35*'LCOE parameters'!$F$23*'LCOE parameters'!$F$24),('LCOE parameters'!$F$36*'LCOE parameters'!$F$23*'LCOE parameters'!$F$24))</f>
        <v>0</v>
      </c>
      <c r="Y120" s="58">
        <f>SUM(('LCOE parameters'!$F$33*'LCOE parameters'!$F$23*'LCOE parameters'!$F$24),('LCOE parameters'!$F$34*'LCOE parameters'!$F$23*'LCOE parameters'!$F$24),('LCOE parameters'!$F$35*'LCOE parameters'!$F$23*'LCOE parameters'!$F$24),('LCOE parameters'!$F$36*'LCOE parameters'!$F$23*'LCOE parameters'!$F$24))</f>
        <v>0</v>
      </c>
      <c r="Z120" s="58">
        <f>SUM(('LCOE parameters'!$F$33*'LCOE parameters'!$F$23*'LCOE parameters'!$F$24),('LCOE parameters'!$F$34*'LCOE parameters'!$F$23*'LCOE parameters'!$F$24),('LCOE parameters'!$F$35*'LCOE parameters'!$F$23*'LCOE parameters'!$F$24),('LCOE parameters'!$F$36*'LCOE parameters'!$F$23*'LCOE parameters'!$F$24))</f>
        <v>0</v>
      </c>
      <c r="AA120" s="58">
        <f>SUM(('LCOE parameters'!$F$33*'LCOE parameters'!$F$23*'LCOE parameters'!$F$24),('LCOE parameters'!$F$34*'LCOE parameters'!$F$23*'LCOE parameters'!$F$24),('LCOE parameters'!$F$35*'LCOE parameters'!$F$23*'LCOE parameters'!$F$24),('LCOE parameters'!$F$36*'LCOE parameters'!$F$23*'LCOE parameters'!$F$24))</f>
        <v>0</v>
      </c>
    </row>
    <row r="121" spans="1:27">
      <c r="A121" s="61" t="s">
        <v>196</v>
      </c>
      <c r="B121" s="61"/>
      <c r="C121" s="58">
        <f>'LCOE parameters'!$F$37</f>
        <v>0</v>
      </c>
      <c r="D121" s="58">
        <f>'LCOE parameters'!$F$37</f>
        <v>0</v>
      </c>
      <c r="E121" s="58">
        <f>'LCOE parameters'!$F$37</f>
        <v>0</v>
      </c>
      <c r="F121" s="58">
        <f>'LCOE parameters'!$F$37</f>
        <v>0</v>
      </c>
      <c r="G121" s="58">
        <f>'LCOE parameters'!$F$37</f>
        <v>0</v>
      </c>
      <c r="H121" s="58">
        <f>'LCOE parameters'!$F$37</f>
        <v>0</v>
      </c>
      <c r="I121" s="58">
        <f>'LCOE parameters'!$F$37</f>
        <v>0</v>
      </c>
      <c r="J121" s="58">
        <f>'LCOE parameters'!$F$37</f>
        <v>0</v>
      </c>
      <c r="K121" s="58">
        <f>'LCOE parameters'!$F$37</f>
        <v>0</v>
      </c>
      <c r="L121" s="58">
        <f>'LCOE parameters'!$F$37</f>
        <v>0</v>
      </c>
      <c r="M121" s="58">
        <f>'LCOE parameters'!$F$37</f>
        <v>0</v>
      </c>
      <c r="N121" s="58">
        <f>'LCOE parameters'!$F$37</f>
        <v>0</v>
      </c>
      <c r="O121" s="58">
        <f>'LCOE parameters'!$F$37</f>
        <v>0</v>
      </c>
      <c r="P121" s="58">
        <f>'LCOE parameters'!$F$37</f>
        <v>0</v>
      </c>
      <c r="Q121" s="58">
        <f>'LCOE parameters'!$F$37</f>
        <v>0</v>
      </c>
      <c r="R121" s="58">
        <f>'LCOE parameters'!$F$37</f>
        <v>0</v>
      </c>
      <c r="S121" s="58">
        <f>'LCOE parameters'!$F$37</f>
        <v>0</v>
      </c>
      <c r="T121" s="58">
        <f>'LCOE parameters'!$F$37</f>
        <v>0</v>
      </c>
      <c r="U121" s="58">
        <f>'LCOE parameters'!$F$37</f>
        <v>0</v>
      </c>
      <c r="V121" s="58">
        <f>'LCOE parameters'!$F$37</f>
        <v>0</v>
      </c>
      <c r="W121" s="58">
        <f>'LCOE parameters'!$F$37</f>
        <v>0</v>
      </c>
      <c r="X121" s="58">
        <f>'LCOE parameters'!$F$37</f>
        <v>0</v>
      </c>
      <c r="Y121" s="58">
        <f>'LCOE parameters'!$F$37</f>
        <v>0</v>
      </c>
      <c r="Z121" s="58">
        <f>'LCOE parameters'!$F$37</f>
        <v>0</v>
      </c>
      <c r="AA121" s="58">
        <f>'LCOE parameters'!$F$37</f>
        <v>0</v>
      </c>
    </row>
    <row r="122" spans="1:27">
      <c r="A122" s="61" t="s">
        <v>197</v>
      </c>
      <c r="B122" s="61"/>
      <c r="C122" s="58">
        <f>('LCOE parameters'!$F$38*Assumptions!$D$17)*('LCOE parameters'!$F$23*Assumptions!$D$4)</f>
        <v>4266</v>
      </c>
      <c r="D122" s="58">
        <f>('LCOE parameters'!$F$38*Assumptions!$D$17)*('LCOE parameters'!$F$23*Assumptions!$D$4)</f>
        <v>4266</v>
      </c>
      <c r="E122" s="58">
        <f>('LCOE parameters'!$F$38*Assumptions!$D$17)*('LCOE parameters'!$F$23*Assumptions!$D$4)</f>
        <v>4266</v>
      </c>
      <c r="F122" s="58">
        <f>('LCOE parameters'!$F$38*Assumptions!$D$17)*('LCOE parameters'!$F$23*Assumptions!$D$4)</f>
        <v>4266</v>
      </c>
      <c r="G122" s="58">
        <f>('LCOE parameters'!$F$38*Assumptions!$D$17)*('LCOE parameters'!$F$23*Assumptions!$D$4)</f>
        <v>4266</v>
      </c>
      <c r="H122" s="58">
        <f>('LCOE parameters'!$F$38*Assumptions!$D$17)*('LCOE parameters'!$F$23*Assumptions!$D$4)</f>
        <v>4266</v>
      </c>
      <c r="I122" s="58">
        <f>('LCOE parameters'!$F$38*Assumptions!$D$17)*('LCOE parameters'!$F$23*Assumptions!$D$4)</f>
        <v>4266</v>
      </c>
      <c r="J122" s="58">
        <f>('LCOE parameters'!$F$38*Assumptions!$D$17)*('LCOE parameters'!$F$23*Assumptions!$D$4)</f>
        <v>4266</v>
      </c>
      <c r="K122" s="58">
        <f>('LCOE parameters'!$F$38*Assumptions!$D$17)*('LCOE parameters'!$F$23*Assumptions!$D$4)</f>
        <v>4266</v>
      </c>
      <c r="L122" s="58">
        <f>('LCOE parameters'!$F$38*Assumptions!$D$17)*('LCOE parameters'!$F$23*Assumptions!$D$4)</f>
        <v>4266</v>
      </c>
      <c r="M122" s="58">
        <f>('LCOE parameters'!$F$38*Assumptions!$D$17)*('LCOE parameters'!$F$23*Assumptions!$D$4)</f>
        <v>4266</v>
      </c>
      <c r="N122" s="58">
        <f>('LCOE parameters'!$F$38*Assumptions!$D$17)*('LCOE parameters'!$F$23*Assumptions!$D$4)</f>
        <v>4266</v>
      </c>
      <c r="O122" s="58">
        <f>('LCOE parameters'!$F$38*Assumptions!$D$17)*('LCOE parameters'!$F$23*Assumptions!$D$4)</f>
        <v>4266</v>
      </c>
      <c r="P122" s="58">
        <f>('LCOE parameters'!$F$38*Assumptions!$D$17)*('LCOE parameters'!$F$23*Assumptions!$D$4)</f>
        <v>4266</v>
      </c>
      <c r="Q122" s="58">
        <f>('LCOE parameters'!$F$38*Assumptions!$D$17)*('LCOE parameters'!$F$23*Assumptions!$D$4)</f>
        <v>4266</v>
      </c>
      <c r="R122" s="58">
        <f>('LCOE parameters'!$F$38*Assumptions!$D$17)*('LCOE parameters'!$F$23*Assumptions!$D$4)</f>
        <v>4266</v>
      </c>
      <c r="S122" s="58">
        <f>('LCOE parameters'!$F$38*Assumptions!$D$17)*('LCOE parameters'!$F$23*Assumptions!$D$4)</f>
        <v>4266</v>
      </c>
      <c r="T122" s="58">
        <f>('LCOE parameters'!$F$38*Assumptions!$D$17)*('LCOE parameters'!$F$23*Assumptions!$D$4)</f>
        <v>4266</v>
      </c>
      <c r="U122" s="58">
        <f>('LCOE parameters'!$F$38*Assumptions!$D$17)*('LCOE parameters'!$F$23*Assumptions!$D$4)</f>
        <v>4266</v>
      </c>
      <c r="V122" s="58">
        <f>('LCOE parameters'!$F$38*Assumptions!$D$17)*('LCOE parameters'!$F$23*Assumptions!$D$4)</f>
        <v>4266</v>
      </c>
      <c r="W122" s="58">
        <f>('LCOE parameters'!$F$38*Assumptions!$D$17)*('LCOE parameters'!$F$23*Assumptions!$D$4)</f>
        <v>4266</v>
      </c>
      <c r="X122" s="58">
        <f>('LCOE parameters'!$F$38*Assumptions!$D$17)*('LCOE parameters'!$F$23*Assumptions!$D$4)</f>
        <v>4266</v>
      </c>
      <c r="Y122" s="58">
        <f>('LCOE parameters'!$F$38*Assumptions!$D$17)*('LCOE parameters'!$F$23*Assumptions!$D$4)</f>
        <v>4266</v>
      </c>
      <c r="Z122" s="58">
        <f>('LCOE parameters'!$F$38*Assumptions!$D$17)*('LCOE parameters'!$F$23*Assumptions!$D$4)</f>
        <v>4266</v>
      </c>
      <c r="AA122" s="58">
        <f>('LCOE parameters'!$F$38*Assumptions!$D$17)*('LCOE parameters'!$F$23*Assumptions!$D$4)</f>
        <v>4266</v>
      </c>
    </row>
    <row r="123" spans="1:27">
      <c r="A123" s="58" t="s">
        <v>209</v>
      </c>
      <c r="B123" s="58">
        <f>'LCOE parameters'!F23*'LCOE parameters'!F24*'LCOE parameters'!B49*'LCOE parameters'!B50</f>
        <v>75371.655222937421</v>
      </c>
    </row>
    <row r="124" spans="1:27">
      <c r="A124" s="58" t="s">
        <v>210</v>
      </c>
      <c r="B124" s="58">
        <f>'LCOE parameters'!$F$49*'LCOE parameters'!$F$53*'LCOE parameters'!$F$42*'LCOE parameters'!$F$23*'LCOE parameters'!$F$24/'LCOE parameters'!$F$41</f>
        <v>135000</v>
      </c>
    </row>
    <row r="125" spans="1:27">
      <c r="A125" s="58" t="s">
        <v>149</v>
      </c>
      <c r="C125" s="58">
        <f>('LCOE parameters'!$F$23*Assumptions!$D$4)*('LCOE parameters'!$F$24*Assumptions!$D$6)</f>
        <v>9000</v>
      </c>
      <c r="D125" s="58">
        <f>('LCOE parameters'!$F$23*Assumptions!$D$4)*('LCOE parameters'!$F$24*Assumptions!$D$6)</f>
        <v>9000</v>
      </c>
      <c r="E125" s="58">
        <f>('LCOE parameters'!$F$23*Assumptions!$D$4)*('LCOE parameters'!$F$24*Assumptions!$D$6)</f>
        <v>9000</v>
      </c>
      <c r="F125" s="58">
        <f>('LCOE parameters'!$F$23*Assumptions!$D$4)*('LCOE parameters'!$F$24*Assumptions!$D$6)</f>
        <v>9000</v>
      </c>
      <c r="G125" s="58">
        <f>('LCOE parameters'!$F$23*Assumptions!$D$4)*('LCOE parameters'!$F$24*Assumptions!$D$6)</f>
        <v>9000</v>
      </c>
      <c r="H125" s="58">
        <f>('LCOE parameters'!$F$23*Assumptions!$D$4)*('LCOE parameters'!$F$24*Assumptions!$D$6)</f>
        <v>9000</v>
      </c>
      <c r="I125" s="58">
        <f>('LCOE parameters'!$F$23*Assumptions!$D$4)*('LCOE parameters'!$F$24*Assumptions!$D$6)</f>
        <v>9000</v>
      </c>
      <c r="J125" s="58">
        <f>('LCOE parameters'!$F$23*Assumptions!$D$4)*('LCOE parameters'!$F$24*Assumptions!$D$6)</f>
        <v>9000</v>
      </c>
      <c r="K125" s="58">
        <f>('LCOE parameters'!$F$23*Assumptions!$D$4)*('LCOE parameters'!$F$24*Assumptions!$D$6)</f>
        <v>9000</v>
      </c>
      <c r="L125" s="58">
        <f>('LCOE parameters'!$F$23*Assumptions!$D$4)*('LCOE parameters'!$F$24*Assumptions!$D$6)</f>
        <v>9000</v>
      </c>
      <c r="M125" s="58">
        <f>('LCOE parameters'!$F$23*Assumptions!$D$4)*('LCOE parameters'!$F$24*Assumptions!$D$6)</f>
        <v>9000</v>
      </c>
      <c r="N125" s="58">
        <f>('LCOE parameters'!$F$23*Assumptions!$D$4)*('LCOE parameters'!$F$24*Assumptions!$D$6)</f>
        <v>9000</v>
      </c>
      <c r="O125" s="58">
        <f>('LCOE parameters'!$F$23*Assumptions!$D$4)*('LCOE parameters'!$F$24*Assumptions!$D$6)</f>
        <v>9000</v>
      </c>
      <c r="P125" s="58">
        <f>('LCOE parameters'!$F$23*Assumptions!$D$4)*('LCOE parameters'!$F$24*Assumptions!$D$6)</f>
        <v>9000</v>
      </c>
      <c r="Q125" s="58">
        <f>('LCOE parameters'!$F$23*Assumptions!$D$4)*('LCOE parameters'!$F$24*Assumptions!$D$6)</f>
        <v>9000</v>
      </c>
      <c r="R125" s="58">
        <f>('LCOE parameters'!$F$23*Assumptions!$D$4)*('LCOE parameters'!$F$24*Assumptions!$D$6)</f>
        <v>9000</v>
      </c>
      <c r="S125" s="58">
        <f>('LCOE parameters'!$F$23*Assumptions!$D$4)*('LCOE parameters'!$F$24*Assumptions!$D$6)</f>
        <v>9000</v>
      </c>
      <c r="T125" s="58">
        <f>('LCOE parameters'!$F$23*Assumptions!$D$4)*('LCOE parameters'!$F$24*Assumptions!$D$6)</f>
        <v>9000</v>
      </c>
      <c r="U125" s="58">
        <f>('LCOE parameters'!$F$23*Assumptions!$D$4)*('LCOE parameters'!$F$24*Assumptions!$D$6)</f>
        <v>9000</v>
      </c>
      <c r="V125" s="58">
        <f>('LCOE parameters'!$F$23*Assumptions!$D$4)*('LCOE parameters'!$F$24*Assumptions!$D$6)</f>
        <v>9000</v>
      </c>
      <c r="W125" s="58">
        <f>('LCOE parameters'!$F$23*Assumptions!$D$4)*('LCOE parameters'!$F$24*Assumptions!$D$6)</f>
        <v>9000</v>
      </c>
      <c r="X125" s="58">
        <f>('LCOE parameters'!$F$23*Assumptions!$D$4)*('LCOE parameters'!$F$24*Assumptions!$D$6)</f>
        <v>9000</v>
      </c>
      <c r="Y125" s="58">
        <f>('LCOE parameters'!$F$23*Assumptions!$D$4)*('LCOE parameters'!$F$24*Assumptions!$D$6)</f>
        <v>9000</v>
      </c>
      <c r="Z125" s="58">
        <f>('LCOE parameters'!$F$23*Assumptions!$D$4)*('LCOE parameters'!$F$24*Assumptions!$D$6)</f>
        <v>9000</v>
      </c>
      <c r="AA125" s="58">
        <f>('LCOE parameters'!$F$23*Assumptions!$D$4)*('LCOE parameters'!$F$24*Assumptions!$D$6)</f>
        <v>9000</v>
      </c>
    </row>
    <row r="126" spans="1:27">
      <c r="A126" s="58" t="s">
        <v>166</v>
      </c>
      <c r="B126" s="63">
        <f>('LCOE parameters'!$F$28*Assumptions!$D$10)</f>
        <v>4.2999999999999997E-2</v>
      </c>
      <c r="C126" s="63">
        <f>('LCOE parameters'!$F$28*Assumptions!$D$10)</f>
        <v>4.2999999999999997E-2</v>
      </c>
      <c r="D126" s="63">
        <f>('LCOE parameters'!$F$28*Assumptions!$D$10)</f>
        <v>4.2999999999999997E-2</v>
      </c>
      <c r="E126" s="63">
        <f>('LCOE parameters'!$F$28*Assumptions!$D$10)</f>
        <v>4.2999999999999997E-2</v>
      </c>
      <c r="F126" s="63">
        <f>('LCOE parameters'!$F$28*Assumptions!$D$10)</f>
        <v>4.2999999999999997E-2</v>
      </c>
      <c r="G126" s="63">
        <f>('LCOE parameters'!$F$28*Assumptions!$D$10)</f>
        <v>4.2999999999999997E-2</v>
      </c>
      <c r="H126" s="63">
        <f>('LCOE parameters'!$F$28*Assumptions!$D$10)</f>
        <v>4.2999999999999997E-2</v>
      </c>
      <c r="I126" s="63">
        <f>('LCOE parameters'!$F$28*Assumptions!$D$10)</f>
        <v>4.2999999999999997E-2</v>
      </c>
      <c r="J126" s="63">
        <f>('LCOE parameters'!$F$28*Assumptions!$D$10)</f>
        <v>4.2999999999999997E-2</v>
      </c>
      <c r="K126" s="63">
        <f>('LCOE parameters'!$F$28*Assumptions!$D$10)</f>
        <v>4.2999999999999997E-2</v>
      </c>
      <c r="L126" s="63">
        <f>('LCOE parameters'!$F$28*Assumptions!$D$10)</f>
        <v>4.2999999999999997E-2</v>
      </c>
      <c r="M126" s="63">
        <f>('LCOE parameters'!$F$28*Assumptions!$D$10)</f>
        <v>4.2999999999999997E-2</v>
      </c>
      <c r="N126" s="63">
        <f>('LCOE parameters'!$F$28*Assumptions!$D$10)</f>
        <v>4.2999999999999997E-2</v>
      </c>
      <c r="O126" s="63">
        <f>('LCOE parameters'!$F$28*Assumptions!$D$10)</f>
        <v>4.2999999999999997E-2</v>
      </c>
      <c r="P126" s="63">
        <f>('LCOE parameters'!$F$28*Assumptions!$D$10)</f>
        <v>4.2999999999999997E-2</v>
      </c>
      <c r="Q126" s="63">
        <f>('LCOE parameters'!$F$28*Assumptions!$D$10)</f>
        <v>4.2999999999999997E-2</v>
      </c>
      <c r="R126" s="63">
        <f>('LCOE parameters'!$F$28*Assumptions!$D$10)</f>
        <v>4.2999999999999997E-2</v>
      </c>
      <c r="S126" s="63">
        <f>('LCOE parameters'!$F$28*Assumptions!$D$10)</f>
        <v>4.2999999999999997E-2</v>
      </c>
      <c r="T126" s="63">
        <f>('LCOE parameters'!$F$28*Assumptions!$D$10)</f>
        <v>4.2999999999999997E-2</v>
      </c>
      <c r="U126" s="63">
        <f>('LCOE parameters'!$F$28*Assumptions!$D$10)</f>
        <v>4.2999999999999997E-2</v>
      </c>
      <c r="V126" s="63">
        <f>('LCOE parameters'!$F$28*Assumptions!$D$10)</f>
        <v>4.2999999999999997E-2</v>
      </c>
      <c r="W126" s="63">
        <f>('LCOE parameters'!$F$28*Assumptions!$D$10)</f>
        <v>4.2999999999999997E-2</v>
      </c>
      <c r="X126" s="63">
        <f>('LCOE parameters'!$F$28*Assumptions!$D$10)</f>
        <v>4.2999999999999997E-2</v>
      </c>
      <c r="Y126" s="63">
        <f>('LCOE parameters'!$F$28*Assumptions!$D$10)</f>
        <v>4.2999999999999997E-2</v>
      </c>
      <c r="Z126" s="63">
        <f>('LCOE parameters'!$F$28*Assumptions!$D$10)</f>
        <v>4.2999999999999997E-2</v>
      </c>
      <c r="AA126" s="63">
        <f>('LCOE parameters'!$F$28*Assumptions!$D$10)</f>
        <v>4.2999999999999997E-2</v>
      </c>
    </row>
    <row r="127" spans="1:27">
      <c r="A127" s="64" t="s">
        <v>173</v>
      </c>
      <c r="B127" s="63">
        <f>('LCOE parameters'!$F$29*Assumptions!$D$11)</f>
        <v>4.2999999999999997E-2</v>
      </c>
      <c r="C127" s="63">
        <f>('LCOE parameters'!$F$29*Assumptions!$D$11)</f>
        <v>4.2999999999999997E-2</v>
      </c>
      <c r="D127" s="63">
        <f>('LCOE parameters'!$F$29*Assumptions!$D$11)</f>
        <v>4.2999999999999997E-2</v>
      </c>
      <c r="E127" s="63">
        <f>('LCOE parameters'!$F$29*Assumptions!$D$11)</f>
        <v>4.2999999999999997E-2</v>
      </c>
      <c r="F127" s="63">
        <f>('LCOE parameters'!$F$29*Assumptions!$D$11)</f>
        <v>4.2999999999999997E-2</v>
      </c>
      <c r="G127" s="63">
        <f>('LCOE parameters'!$F$29*Assumptions!$D$11)</f>
        <v>4.2999999999999997E-2</v>
      </c>
      <c r="H127" s="63">
        <f>('LCOE parameters'!$F$29*Assumptions!$D$11)</f>
        <v>4.2999999999999997E-2</v>
      </c>
      <c r="I127" s="63">
        <f>('LCOE parameters'!$F$29*Assumptions!$D$11)</f>
        <v>4.2999999999999997E-2</v>
      </c>
      <c r="J127" s="63">
        <f>('LCOE parameters'!$F$29*Assumptions!$D$11)</f>
        <v>4.2999999999999997E-2</v>
      </c>
      <c r="K127" s="63">
        <f>('LCOE parameters'!$F$29*Assumptions!$D$11)</f>
        <v>4.2999999999999997E-2</v>
      </c>
      <c r="L127" s="63">
        <f>('LCOE parameters'!$F$29*Assumptions!$D$11)</f>
        <v>4.2999999999999997E-2</v>
      </c>
      <c r="M127" s="63">
        <f>('LCOE parameters'!$F$29*Assumptions!$D$11)</f>
        <v>4.2999999999999997E-2</v>
      </c>
      <c r="N127" s="63">
        <f>('LCOE parameters'!$F$29*Assumptions!$D$11)</f>
        <v>4.2999999999999997E-2</v>
      </c>
      <c r="O127" s="63">
        <f>('LCOE parameters'!$F$29*Assumptions!$D$11)</f>
        <v>4.2999999999999997E-2</v>
      </c>
      <c r="P127" s="63">
        <f>('LCOE parameters'!$F$29*Assumptions!$D$11)</f>
        <v>4.2999999999999997E-2</v>
      </c>
      <c r="Q127" s="63">
        <f>('LCOE parameters'!$F$29*Assumptions!$D$11)</f>
        <v>4.2999999999999997E-2</v>
      </c>
      <c r="R127" s="63">
        <f>('LCOE parameters'!$F$29*Assumptions!$D$11)</f>
        <v>4.2999999999999997E-2</v>
      </c>
      <c r="S127" s="63">
        <f>('LCOE parameters'!$F$29*Assumptions!$D$11)</f>
        <v>4.2999999999999997E-2</v>
      </c>
      <c r="T127" s="63">
        <f>('LCOE parameters'!$F$29*Assumptions!$D$11)</f>
        <v>4.2999999999999997E-2</v>
      </c>
      <c r="U127" s="63">
        <f>('LCOE parameters'!$F$29*Assumptions!$D$11)</f>
        <v>4.2999999999999997E-2</v>
      </c>
      <c r="V127" s="63">
        <f>('LCOE parameters'!$F$29*Assumptions!$D$11)</f>
        <v>4.2999999999999997E-2</v>
      </c>
      <c r="W127" s="63">
        <f>('LCOE parameters'!$F$29*Assumptions!$D$11)</f>
        <v>4.2999999999999997E-2</v>
      </c>
      <c r="X127" s="63">
        <f>('LCOE parameters'!$F$29*Assumptions!$D$11)</f>
        <v>4.2999999999999997E-2</v>
      </c>
      <c r="Y127" s="63">
        <f>('LCOE parameters'!$F$29*Assumptions!$D$11)</f>
        <v>4.2999999999999997E-2</v>
      </c>
      <c r="Z127" s="63">
        <f>('LCOE parameters'!$F$29*Assumptions!$D$11)</f>
        <v>4.2999999999999997E-2</v>
      </c>
      <c r="AA127" s="58">
        <f>('LCOE parameters'!$F$29*Assumptions!$D$11)</f>
        <v>4.2999999999999997E-2</v>
      </c>
    </row>
    <row r="128" spans="1:27">
      <c r="A128" s="58" t="s">
        <v>151</v>
      </c>
      <c r="C128" s="58">
        <f>'LCOE parameters'!$F$42</f>
        <v>25</v>
      </c>
      <c r="D128" s="58">
        <f>'LCOE parameters'!$F$42</f>
        <v>25</v>
      </c>
      <c r="E128" s="58">
        <f>'LCOE parameters'!$F$42</f>
        <v>25</v>
      </c>
      <c r="F128" s="58">
        <f>'LCOE parameters'!$F$42</f>
        <v>25</v>
      </c>
      <c r="G128" s="58">
        <f>'LCOE parameters'!$F$42</f>
        <v>25</v>
      </c>
      <c r="H128" s="58">
        <f>'LCOE parameters'!$F$42</f>
        <v>25</v>
      </c>
      <c r="I128" s="58">
        <f>'LCOE parameters'!$F$42</f>
        <v>25</v>
      </c>
      <c r="J128" s="58">
        <f>'LCOE parameters'!$F$42</f>
        <v>25</v>
      </c>
      <c r="K128" s="58">
        <f>'LCOE parameters'!$F$42</f>
        <v>25</v>
      </c>
      <c r="L128" s="58">
        <f>'LCOE parameters'!$F$42</f>
        <v>25</v>
      </c>
      <c r="M128" s="58">
        <f>'LCOE parameters'!$F$42</f>
        <v>25</v>
      </c>
      <c r="N128" s="58">
        <f>'LCOE parameters'!$F$42</f>
        <v>25</v>
      </c>
      <c r="O128" s="58">
        <f>'LCOE parameters'!$F$42</f>
        <v>25</v>
      </c>
      <c r="P128" s="58">
        <f>'LCOE parameters'!$F$42</f>
        <v>25</v>
      </c>
      <c r="Q128" s="58">
        <f>'LCOE parameters'!$F$42</f>
        <v>25</v>
      </c>
      <c r="R128" s="58">
        <f>'LCOE parameters'!$F$42</f>
        <v>25</v>
      </c>
      <c r="S128" s="58">
        <f>'LCOE parameters'!$F$42</f>
        <v>25</v>
      </c>
      <c r="T128" s="58">
        <f>'LCOE parameters'!$F$42</f>
        <v>25</v>
      </c>
      <c r="U128" s="58">
        <f>'LCOE parameters'!$F$42</f>
        <v>25</v>
      </c>
      <c r="V128" s="58">
        <f>'LCOE parameters'!$F$42</f>
        <v>25</v>
      </c>
      <c r="W128" s="58">
        <f>'LCOE parameters'!$F$42</f>
        <v>25</v>
      </c>
      <c r="X128" s="58">
        <f>'LCOE parameters'!$F$42</f>
        <v>25</v>
      </c>
      <c r="Y128" s="58">
        <f>'LCOE parameters'!$F$42</f>
        <v>25</v>
      </c>
      <c r="Z128" s="58">
        <f>'LCOE parameters'!$F$42</f>
        <v>25</v>
      </c>
      <c r="AA128" s="58">
        <f>'LCOE parameters'!$F$42</f>
        <v>25</v>
      </c>
    </row>
    <row r="129" spans="1:29">
      <c r="A129" s="58" t="s">
        <v>160</v>
      </c>
      <c r="B129" s="58">
        <f>SUM(B115:B119,B121:B122,B124)/((1+B127)^B113)</f>
        <v>236467.91699999999</v>
      </c>
      <c r="C129" s="58">
        <f>SUM(C115:C119,C121:C123)/((1+C127)^C113)</f>
        <v>224956.85522531162</v>
      </c>
      <c r="D129" s="58">
        <f t="shared" ref="D129:AA129" si="22">SUM(D115:D119,D121:D123)/((1+D127)^D113)</f>
        <v>212310.01729100273</v>
      </c>
      <c r="E129" s="58">
        <f t="shared" si="22"/>
        <v>200323.61186499236</v>
      </c>
      <c r="F129" s="58">
        <f t="shared" si="22"/>
        <v>188964.678976008</v>
      </c>
      <c r="G129" s="58">
        <f t="shared" si="22"/>
        <v>178201.85382250694</v>
      </c>
      <c r="H129" s="58">
        <f t="shared" si="22"/>
        <v>168005.29126537</v>
      </c>
      <c r="I129" s="58">
        <f t="shared" si="22"/>
        <v>158346.59383522425</v>
      </c>
      <c r="J129" s="58">
        <f t="shared" si="22"/>
        <v>149198.74309293638</v>
      </c>
      <c r="K129" s="58">
        <f t="shared" si="22"/>
        <v>140536.03418915774</v>
      </c>
      <c r="L129" s="58">
        <f t="shared" si="22"/>
        <v>132334.01347581024</v>
      </c>
      <c r="M129" s="58">
        <f t="shared" si="22"/>
        <v>124569.4190290954</v>
      </c>
      <c r="N129" s="58">
        <f t="shared" si="22"/>
        <v>117220.12394999928</v>
      </c>
      <c r="O129" s="58">
        <f t="shared" si="22"/>
        <v>110265.08231436815</v>
      </c>
      <c r="P129" s="58">
        <f t="shared" si="22"/>
        <v>103684.27765045763</v>
      </c>
      <c r="Q129" s="58">
        <f t="shared" si="22"/>
        <v>97458.673827421357</v>
      </c>
      <c r="R129" s="58">
        <f t="shared" si="22"/>
        <v>91570.168243518448</v>
      </c>
      <c r="S129" s="58">
        <f t="shared" si="22"/>
        <v>86001.547207892014</v>
      </c>
      <c r="T129" s="58">
        <f t="shared" si="22"/>
        <v>80736.44341461391</v>
      </c>
      <c r="U129" s="58">
        <f t="shared" si="22"/>
        <v>75759.295412316016</v>
      </c>
      <c r="V129" s="58">
        <f t="shared" si="22"/>
        <v>71055.308977144174</v>
      </c>
      <c r="W129" s="58">
        <f t="shared" si="22"/>
        <v>66610.420300985439</v>
      </c>
      <c r="X129" s="58">
        <f t="shared" si="22"/>
        <v>62411.260910945792</v>
      </c>
      <c r="Y129" s="58">
        <f t="shared" si="22"/>
        <v>58445.12423989681</v>
      </c>
      <c r="Z129" s="58">
        <f t="shared" si="22"/>
        <v>54699.933771579446</v>
      </c>
      <c r="AA129" s="58">
        <f t="shared" si="22"/>
        <v>51164.21268725524</v>
      </c>
    </row>
    <row r="130" spans="1:29">
      <c r="A130" s="58" t="s">
        <v>159</v>
      </c>
      <c r="B130" s="58">
        <f>SUM(B115:B119,B121:B122)/((1+B127)^B113)</f>
        <v>95662.916999999987</v>
      </c>
      <c r="C130" s="58">
        <f>SUM(C115:C119,C121:C122)/((1+C127)^C113)</f>
        <v>224956.85522531162</v>
      </c>
      <c r="D130" s="58">
        <f t="shared" ref="D130:AA130" si="23">SUM(D115:D119,D121:D122)/((1+D127)^D113)</f>
        <v>212310.01729100273</v>
      </c>
      <c r="E130" s="58">
        <f t="shared" si="23"/>
        <v>200323.61186499236</v>
      </c>
      <c r="F130" s="58">
        <f t="shared" si="23"/>
        <v>188964.678976008</v>
      </c>
      <c r="G130" s="58">
        <f t="shared" si="23"/>
        <v>178201.85382250694</v>
      </c>
      <c r="H130" s="58">
        <f t="shared" si="23"/>
        <v>168005.29126537</v>
      </c>
      <c r="I130" s="58">
        <f t="shared" si="23"/>
        <v>158346.59383522425</v>
      </c>
      <c r="J130" s="58">
        <f t="shared" si="23"/>
        <v>149198.74309293638</v>
      </c>
      <c r="K130" s="58">
        <f t="shared" si="23"/>
        <v>140536.03418915774</v>
      </c>
      <c r="L130" s="58">
        <f t="shared" si="23"/>
        <v>132334.01347581024</v>
      </c>
      <c r="M130" s="58">
        <f t="shared" si="23"/>
        <v>124569.4190290954</v>
      </c>
      <c r="N130" s="58">
        <f t="shared" si="23"/>
        <v>117220.12394999928</v>
      </c>
      <c r="O130" s="58">
        <f t="shared" si="23"/>
        <v>110265.08231436815</v>
      </c>
      <c r="P130" s="58">
        <f t="shared" si="23"/>
        <v>103684.27765045763</v>
      </c>
      <c r="Q130" s="58">
        <f t="shared" si="23"/>
        <v>97458.673827421357</v>
      </c>
      <c r="R130" s="58">
        <f t="shared" si="23"/>
        <v>91570.168243518448</v>
      </c>
      <c r="S130" s="58">
        <f t="shared" si="23"/>
        <v>86001.547207892014</v>
      </c>
      <c r="T130" s="58">
        <f t="shared" si="23"/>
        <v>80736.44341461391</v>
      </c>
      <c r="U130" s="58">
        <f t="shared" si="23"/>
        <v>75759.295412316016</v>
      </c>
      <c r="V130" s="58">
        <f t="shared" si="23"/>
        <v>71055.308977144174</v>
      </c>
      <c r="W130" s="58">
        <f t="shared" si="23"/>
        <v>66610.420300985439</v>
      </c>
      <c r="X130" s="58">
        <f t="shared" si="23"/>
        <v>62411.260910945792</v>
      </c>
      <c r="Y130" s="58">
        <f t="shared" si="23"/>
        <v>58445.12423989681</v>
      </c>
      <c r="Z130" s="58">
        <f t="shared" si="23"/>
        <v>54699.933771579446</v>
      </c>
      <c r="AA130" s="58">
        <f t="shared" si="23"/>
        <v>51164.21268725524</v>
      </c>
    </row>
    <row r="131" spans="1:29">
      <c r="A131" s="58" t="s">
        <v>162</v>
      </c>
      <c r="B131" s="58">
        <f>SUM(B115:B122,B124)/((1+B127)^B113)</f>
        <v>236467.91699999999</v>
      </c>
      <c r="C131" s="58">
        <f>SUM(C115:C123)/((1+C127)^C113)</f>
        <v>224956.85522531162</v>
      </c>
      <c r="D131" s="58">
        <f t="shared" ref="D131:AA131" si="24">SUM(D115:D123)/((1+D127)^D113)</f>
        <v>212310.01729100273</v>
      </c>
      <c r="E131" s="58">
        <f t="shared" si="24"/>
        <v>200323.61186499236</v>
      </c>
      <c r="F131" s="58">
        <f t="shared" si="24"/>
        <v>188964.678976008</v>
      </c>
      <c r="G131" s="58">
        <f t="shared" si="24"/>
        <v>178201.85382250694</v>
      </c>
      <c r="H131" s="58">
        <f t="shared" si="24"/>
        <v>168005.29126537</v>
      </c>
      <c r="I131" s="58">
        <f t="shared" si="24"/>
        <v>158346.59383522425</v>
      </c>
      <c r="J131" s="58">
        <f t="shared" si="24"/>
        <v>149198.74309293638</v>
      </c>
      <c r="K131" s="58">
        <f t="shared" si="24"/>
        <v>140536.03418915774</v>
      </c>
      <c r="L131" s="58">
        <f t="shared" si="24"/>
        <v>132334.01347581024</v>
      </c>
      <c r="M131" s="58">
        <f t="shared" si="24"/>
        <v>124569.4190290954</v>
      </c>
      <c r="N131" s="58">
        <f t="shared" si="24"/>
        <v>117220.12394999928</v>
      </c>
      <c r="O131" s="58">
        <f t="shared" si="24"/>
        <v>110265.08231436815</v>
      </c>
      <c r="P131" s="58">
        <f t="shared" si="24"/>
        <v>103684.27765045763</v>
      </c>
      <c r="Q131" s="58">
        <f t="shared" si="24"/>
        <v>97458.673827421357</v>
      </c>
      <c r="R131" s="58">
        <f t="shared" si="24"/>
        <v>91570.168243518448</v>
      </c>
      <c r="S131" s="58">
        <f t="shared" si="24"/>
        <v>86001.547207892014</v>
      </c>
      <c r="T131" s="58">
        <f t="shared" si="24"/>
        <v>80736.44341461391</v>
      </c>
      <c r="U131" s="58">
        <f t="shared" si="24"/>
        <v>75759.295412316016</v>
      </c>
      <c r="V131" s="58">
        <f t="shared" si="24"/>
        <v>71055.308977144174</v>
      </c>
      <c r="W131" s="58">
        <f t="shared" si="24"/>
        <v>66610.420300985439</v>
      </c>
      <c r="X131" s="58">
        <f t="shared" si="24"/>
        <v>62411.260910945792</v>
      </c>
      <c r="Y131" s="58">
        <f t="shared" si="24"/>
        <v>58445.12423989681</v>
      </c>
      <c r="Z131" s="58">
        <f t="shared" si="24"/>
        <v>54699.933771579446</v>
      </c>
      <c r="AA131" s="58">
        <f t="shared" si="24"/>
        <v>51164.21268725524</v>
      </c>
    </row>
    <row r="132" spans="1:29">
      <c r="A132" s="58" t="s">
        <v>161</v>
      </c>
      <c r="B132" s="58">
        <f>SUM(B115:B122)/((1+B127)^B113)</f>
        <v>95662.916999999987</v>
      </c>
      <c r="C132" s="58">
        <f>SUM(C115:C122)/((1+C127)^C113)</f>
        <v>224956.85522531162</v>
      </c>
      <c r="D132" s="58">
        <f t="shared" ref="D132:AA132" si="25">SUM(D115:D122)/((1+D127)^D113)</f>
        <v>212310.01729100273</v>
      </c>
      <c r="E132" s="58">
        <f t="shared" si="25"/>
        <v>200323.61186499236</v>
      </c>
      <c r="F132" s="58">
        <f t="shared" si="25"/>
        <v>188964.678976008</v>
      </c>
      <c r="G132" s="58">
        <f t="shared" si="25"/>
        <v>178201.85382250694</v>
      </c>
      <c r="H132" s="58">
        <f t="shared" si="25"/>
        <v>168005.29126537</v>
      </c>
      <c r="I132" s="58">
        <f t="shared" si="25"/>
        <v>158346.59383522425</v>
      </c>
      <c r="J132" s="58">
        <f t="shared" si="25"/>
        <v>149198.74309293638</v>
      </c>
      <c r="K132" s="58">
        <f t="shared" si="25"/>
        <v>140536.03418915774</v>
      </c>
      <c r="L132" s="58">
        <f t="shared" si="25"/>
        <v>132334.01347581024</v>
      </c>
      <c r="M132" s="58">
        <f t="shared" si="25"/>
        <v>124569.4190290954</v>
      </c>
      <c r="N132" s="58">
        <f t="shared" si="25"/>
        <v>117220.12394999928</v>
      </c>
      <c r="O132" s="58">
        <f t="shared" si="25"/>
        <v>110265.08231436815</v>
      </c>
      <c r="P132" s="58">
        <f t="shared" si="25"/>
        <v>103684.27765045763</v>
      </c>
      <c r="Q132" s="58">
        <f t="shared" si="25"/>
        <v>97458.673827421357</v>
      </c>
      <c r="R132" s="58">
        <f t="shared" si="25"/>
        <v>91570.168243518448</v>
      </c>
      <c r="S132" s="58">
        <f t="shared" si="25"/>
        <v>86001.547207892014</v>
      </c>
      <c r="T132" s="58">
        <f t="shared" si="25"/>
        <v>80736.44341461391</v>
      </c>
      <c r="U132" s="58">
        <f t="shared" si="25"/>
        <v>75759.295412316016</v>
      </c>
      <c r="V132" s="58">
        <f t="shared" si="25"/>
        <v>71055.308977144174</v>
      </c>
      <c r="W132" s="58">
        <f t="shared" si="25"/>
        <v>66610.420300985439</v>
      </c>
      <c r="X132" s="58">
        <f t="shared" si="25"/>
        <v>62411.260910945792</v>
      </c>
      <c r="Y132" s="58">
        <f t="shared" si="25"/>
        <v>58445.12423989681</v>
      </c>
      <c r="Z132" s="58">
        <f t="shared" si="25"/>
        <v>54699.933771579446</v>
      </c>
      <c r="AA132" s="58">
        <f t="shared" si="25"/>
        <v>51164.21268725524</v>
      </c>
    </row>
    <row r="133" spans="1:29">
      <c r="A133" s="58" t="s">
        <v>163</v>
      </c>
      <c r="B133" s="58">
        <f>B125/((1+B127)^B113)</f>
        <v>0</v>
      </c>
      <c r="C133" s="58">
        <f>C125/((1+C127)^C113)</f>
        <v>8628.9549376797713</v>
      </c>
      <c r="D133" s="58">
        <f t="shared" ref="D133:AA133" si="26">D125/((1+D127)^D113)</f>
        <v>8273.2070351675666</v>
      </c>
      <c r="E133" s="58">
        <f t="shared" si="26"/>
        <v>7932.1256329506878</v>
      </c>
      <c r="F133" s="58">
        <f t="shared" si="26"/>
        <v>7605.1060718606786</v>
      </c>
      <c r="G133" s="58">
        <f t="shared" si="26"/>
        <v>7291.5686211511784</v>
      </c>
      <c r="H133" s="58">
        <f t="shared" si="26"/>
        <v>6990.9574507681482</v>
      </c>
      <c r="I133" s="58">
        <f t="shared" si="26"/>
        <v>6702.7396459905558</v>
      </c>
      <c r="J133" s="58">
        <f t="shared" si="26"/>
        <v>6426.4042626946839</v>
      </c>
      <c r="K133" s="58">
        <f t="shared" si="26"/>
        <v>6161.4614215672918</v>
      </c>
      <c r="L133" s="58">
        <f t="shared" si="26"/>
        <v>5907.4414396618322</v>
      </c>
      <c r="M133" s="58">
        <f t="shared" si="26"/>
        <v>5663.8939977582295</v>
      </c>
      <c r="N133" s="58">
        <f t="shared" si="26"/>
        <v>5430.3873420500768</v>
      </c>
      <c r="O133" s="58">
        <f t="shared" si="26"/>
        <v>5206.5075187440816</v>
      </c>
      <c r="P133" s="58">
        <f t="shared" si="26"/>
        <v>4991.8576402148428</v>
      </c>
      <c r="Q133" s="58">
        <f t="shared" si="26"/>
        <v>4786.0571814140403</v>
      </c>
      <c r="R133" s="58">
        <f t="shared" si="26"/>
        <v>4588.7413052867114</v>
      </c>
      <c r="S133" s="58">
        <f t="shared" si="26"/>
        <v>4399.5602159987648</v>
      </c>
      <c r="T133" s="58">
        <f t="shared" si="26"/>
        <v>4218.1785388291137</v>
      </c>
      <c r="U133" s="58">
        <f t="shared" si="26"/>
        <v>4044.2747256271473</v>
      </c>
      <c r="V133" s="58">
        <f t="shared" si="26"/>
        <v>3877.5404847815407</v>
      </c>
      <c r="W133" s="58">
        <f t="shared" si="26"/>
        <v>3717.6802346898762</v>
      </c>
      <c r="X133" s="58">
        <f t="shared" si="26"/>
        <v>3564.4105797601883</v>
      </c>
      <c r="Y133" s="58">
        <f t="shared" si="26"/>
        <v>3417.459808015522</v>
      </c>
      <c r="Z133" s="58">
        <f t="shared" si="26"/>
        <v>3276.5674094108545</v>
      </c>
      <c r="AA133" s="58">
        <f t="shared" si="26"/>
        <v>3141.4836140084899</v>
      </c>
    </row>
    <row r="136" spans="1:29">
      <c r="B136" s="59" t="s">
        <v>150</v>
      </c>
    </row>
    <row r="137" spans="1:29">
      <c r="B137" s="58" t="s">
        <v>168</v>
      </c>
      <c r="D137" s="58" t="s">
        <v>169</v>
      </c>
    </row>
    <row r="138" spans="1:29">
      <c r="A138" s="58" t="s">
        <v>269</v>
      </c>
      <c r="B138" s="58">
        <v>-1.5</v>
      </c>
      <c r="C138" s="58">
        <v>-1</v>
      </c>
      <c r="D138" s="58">
        <v>1</v>
      </c>
      <c r="E138" s="58">
        <v>2</v>
      </c>
      <c r="F138" s="58">
        <v>3</v>
      </c>
      <c r="G138" s="58">
        <v>4</v>
      </c>
      <c r="H138" s="58">
        <v>5</v>
      </c>
      <c r="I138" s="58">
        <v>6</v>
      </c>
      <c r="J138" s="58">
        <v>7</v>
      </c>
      <c r="K138" s="58">
        <v>8</v>
      </c>
      <c r="L138" s="58">
        <v>9</v>
      </c>
      <c r="M138" s="58">
        <v>10</v>
      </c>
      <c r="N138" s="58">
        <v>11</v>
      </c>
      <c r="O138" s="58">
        <v>12</v>
      </c>
      <c r="P138" s="58">
        <v>13</v>
      </c>
      <c r="Q138" s="58">
        <v>14</v>
      </c>
      <c r="R138" s="58">
        <v>15</v>
      </c>
      <c r="S138" s="58">
        <v>16</v>
      </c>
      <c r="T138" s="58">
        <v>17</v>
      </c>
      <c r="U138" s="58">
        <v>18</v>
      </c>
      <c r="V138" s="58">
        <v>19</v>
      </c>
      <c r="W138" s="58">
        <v>20</v>
      </c>
      <c r="X138" s="58">
        <v>21</v>
      </c>
      <c r="Y138" s="58">
        <v>22</v>
      </c>
      <c r="Z138" s="58">
        <v>23</v>
      </c>
      <c r="AA138" s="58">
        <v>24</v>
      </c>
      <c r="AB138" s="58">
        <v>25</v>
      </c>
    </row>
    <row r="139" spans="1:29">
      <c r="A139" s="58" t="s">
        <v>167</v>
      </c>
      <c r="B139" s="58">
        <f>('LCOE parameters'!$G$27*Assumptions!$E$9)*('LCOE parameters'!$G$23*Assumptions!$E$4)*(0.5/'LCOE parameters'!$G$41)</f>
        <v>1000000</v>
      </c>
      <c r="C139" s="58">
        <f>('LCOE parameters'!$G$27*Assumptions!$E$9)*('LCOE parameters'!$G$23*Assumptions!$E$4)*(1/'LCOE parameters'!$G$41)</f>
        <v>2000000</v>
      </c>
    </row>
    <row r="140" spans="1:29">
      <c r="A140" s="58" t="s">
        <v>170</v>
      </c>
      <c r="D140" s="58">
        <f>('LCOE parameters'!$G$27*Assumptions!$E$9)*('LCOE parameters'!$G$23*Assumptions!$E$4)/D153</f>
        <v>120000</v>
      </c>
      <c r="E140" s="58">
        <f>('LCOE parameters'!$G$27*Assumptions!$E$9)*('LCOE parameters'!$G$23*Assumptions!$E$4)/E153</f>
        <v>120000</v>
      </c>
      <c r="F140" s="58">
        <f>('LCOE parameters'!$G$27*Assumptions!$E$9)*('LCOE parameters'!$G$23*Assumptions!$E$4)/F153</f>
        <v>120000</v>
      </c>
      <c r="G140" s="58">
        <f>('LCOE parameters'!$G$27*Assumptions!$E$9)*('LCOE parameters'!$G$23*Assumptions!$E$4)/G153</f>
        <v>120000</v>
      </c>
      <c r="H140" s="58">
        <f>('LCOE parameters'!$G$27*Assumptions!$E$9)*('LCOE parameters'!$G$23*Assumptions!$E$4)/H153</f>
        <v>120000</v>
      </c>
      <c r="I140" s="58">
        <f>('LCOE parameters'!$G$27*Assumptions!$E$9)*('LCOE parameters'!$G$23*Assumptions!$E$4)/I153</f>
        <v>120000</v>
      </c>
      <c r="J140" s="58">
        <f>('LCOE parameters'!$G$27*Assumptions!$E$9)*('LCOE parameters'!$G$23*Assumptions!$E$4)/J153</f>
        <v>120000</v>
      </c>
      <c r="K140" s="58">
        <f>('LCOE parameters'!$G$27*Assumptions!$E$9)*('LCOE parameters'!$G$23*Assumptions!$E$4)/K153</f>
        <v>120000</v>
      </c>
      <c r="L140" s="58">
        <f>('LCOE parameters'!$G$27*Assumptions!$E$9)*('LCOE parameters'!$G$23*Assumptions!$E$4)/L153</f>
        <v>120000</v>
      </c>
      <c r="M140" s="58">
        <f>('LCOE parameters'!$G$27*Assumptions!$E$9)*('LCOE parameters'!$G$23*Assumptions!$E$4)/M153</f>
        <v>120000</v>
      </c>
      <c r="N140" s="58">
        <f>('LCOE parameters'!$G$27*Assumptions!$E$9)*('LCOE parameters'!$G$23*Assumptions!$E$4)/N153</f>
        <v>120000</v>
      </c>
      <c r="O140" s="58">
        <f>('LCOE parameters'!$G$27*Assumptions!$E$9)*('LCOE parameters'!$G$23*Assumptions!$E$4)/O153</f>
        <v>120000</v>
      </c>
      <c r="P140" s="58">
        <f>('LCOE parameters'!$G$27*Assumptions!$E$9)*('LCOE parameters'!$G$23*Assumptions!$E$4)/P153</f>
        <v>120000</v>
      </c>
      <c r="Q140" s="58">
        <f>('LCOE parameters'!$G$27*Assumptions!$E$9)*('LCOE parameters'!$G$23*Assumptions!$E$4)/Q153</f>
        <v>120000</v>
      </c>
      <c r="R140" s="58">
        <f>('LCOE parameters'!$G$27*Assumptions!$E$9)*('LCOE parameters'!$G$23*Assumptions!$E$4)/R153</f>
        <v>120000</v>
      </c>
      <c r="S140" s="58">
        <f>('LCOE parameters'!$G$27*Assumptions!$E$9)*('LCOE parameters'!$G$23*Assumptions!$E$4)/S153</f>
        <v>120000</v>
      </c>
      <c r="T140" s="58">
        <f>('LCOE parameters'!$G$27*Assumptions!$E$9)*('LCOE parameters'!$G$23*Assumptions!$E$4)/T153</f>
        <v>120000</v>
      </c>
      <c r="U140" s="58">
        <f>('LCOE parameters'!$G$27*Assumptions!$E$9)*('LCOE parameters'!$G$23*Assumptions!$E$4)/U153</f>
        <v>120000</v>
      </c>
      <c r="V140" s="58">
        <f>('LCOE parameters'!$G$27*Assumptions!$E$9)*('LCOE parameters'!$G$23*Assumptions!$E$4)/V153</f>
        <v>120000</v>
      </c>
      <c r="W140" s="58">
        <f>('LCOE parameters'!$G$27*Assumptions!$E$9)*('LCOE parameters'!$G$23*Assumptions!$E$4)/W153</f>
        <v>120000</v>
      </c>
      <c r="X140" s="58">
        <f>('LCOE parameters'!$G$27*Assumptions!$E$9)*('LCOE parameters'!$G$23*Assumptions!$E$4)/X153</f>
        <v>120000</v>
      </c>
      <c r="Y140" s="58">
        <f>('LCOE parameters'!$G$27*Assumptions!$E$9)*('LCOE parameters'!$G$23*Assumptions!$E$4)/Y153</f>
        <v>120000</v>
      </c>
      <c r="Z140" s="58">
        <f>('LCOE parameters'!$G$27*Assumptions!$E$9)*('LCOE parameters'!$G$23*Assumptions!$E$4)/Z153</f>
        <v>120000</v>
      </c>
      <c r="AA140" s="58">
        <f>('LCOE parameters'!$G$27*Assumptions!$E$9)*('LCOE parameters'!$G$23*Assumptions!$E$4)/AA153</f>
        <v>120000</v>
      </c>
      <c r="AB140" s="58">
        <f>('LCOE parameters'!$G$27*Assumptions!$E$9)*('LCOE parameters'!$G$23*Assumptions!$E$4)/AB153</f>
        <v>120000</v>
      </c>
    </row>
    <row r="141" spans="1:29">
      <c r="A141" s="58" t="s">
        <v>190</v>
      </c>
      <c r="B141" s="58">
        <f>('LCOE parameters'!$G$27*Assumptions!$E$9)*('LCOE parameters'!$G$23*Assumptions!$E$4)*B151*0.5</f>
        <v>64499.999999999993</v>
      </c>
      <c r="C141" s="58">
        <f>('LCOE parameters'!$G$27*Assumptions!$E$9)*('LCOE parameters'!$G$23*Assumptions!$E$4)*C151</f>
        <v>128999.99999999999</v>
      </c>
      <c r="D141" s="58">
        <f>('LCOE parameters'!$G$27*Assumptions!$E$9)*('LCOE parameters'!$G$23*Assumptions!$E$4)*D151</f>
        <v>128999.99999999999</v>
      </c>
      <c r="E141" s="58">
        <f>(SUM($B$139:$C$139,-SUM(D140)))*E151</f>
        <v>123839.99999999999</v>
      </c>
      <c r="F141" s="58">
        <f>(SUM($B$139:$C$139,-SUM(D140:E140)))*F151</f>
        <v>118679.99999999999</v>
      </c>
      <c r="G141" s="58">
        <f>(SUM($B$139:$C$139,-SUM(D140:F140)))*G151</f>
        <v>113519.99999999999</v>
      </c>
      <c r="H141" s="58">
        <f>(SUM($B$139:$C$139,-SUM(D140:G140)))*H151</f>
        <v>108359.99999999999</v>
      </c>
      <c r="I141" s="58">
        <f>(SUM($B$139:$C$139,-SUM(D140:H140)))*I151</f>
        <v>103199.99999999999</v>
      </c>
      <c r="J141" s="58">
        <f>(SUM($B$139:$C$139,-SUM(D140:I140)))*J151</f>
        <v>98039.999999999985</v>
      </c>
      <c r="K141" s="58">
        <f>(SUM($B$139:$C$139,-SUM(D140:J140)))*K151</f>
        <v>92879.999999999985</v>
      </c>
      <c r="L141" s="58">
        <f>(SUM($B$139:$C$139,-SUM(D140:K140)))*L151</f>
        <v>87720</v>
      </c>
      <c r="M141" s="58">
        <f>(SUM($B$139:$C$139,-SUM(D140:L140)))*M151</f>
        <v>82560</v>
      </c>
      <c r="N141" s="58">
        <f>(SUM($B$139:$C$139,-SUM(D140:M140)))*N151</f>
        <v>77400</v>
      </c>
      <c r="O141" s="58">
        <f>(SUM($B$139:$C$139,-SUM(D140:N140)))*O151</f>
        <v>72240</v>
      </c>
      <c r="P141" s="58">
        <f>(SUM($B$139:$C$139,-SUM(D140:O140)))*P151</f>
        <v>67080</v>
      </c>
      <c r="Q141" s="58">
        <f>(SUM($B$139:$C$139,-SUM(D140:P140)))*Q151</f>
        <v>61919.999999999993</v>
      </c>
      <c r="R141" s="58">
        <f>(SUM($B$139:$C$139,-SUM(D140:Q140)))*R151</f>
        <v>56759.999999999993</v>
      </c>
      <c r="S141" s="58">
        <f>(SUM($B$139:$C$139,-SUM(D140:R140)))*S151</f>
        <v>51599.999999999993</v>
      </c>
      <c r="T141" s="58">
        <f>(SUM($B$139:$C$139,-SUM(D140:S140)))*T151</f>
        <v>46439.999999999993</v>
      </c>
      <c r="U141" s="58">
        <f>(SUM($B$139:$C$139,-SUM(D140:T140)))*U151</f>
        <v>41280</v>
      </c>
      <c r="V141" s="58">
        <f>(SUM($B$139:$C$139,-SUM(D140:U140)))*V151</f>
        <v>36120</v>
      </c>
      <c r="W141" s="58">
        <f>(SUM($B$139:$C$139,-SUM(D140:V140)))*W151</f>
        <v>30959.999999999996</v>
      </c>
      <c r="X141" s="58">
        <f>(SUM($B$139:$C$139,-SUM(D140:W140)))*X151</f>
        <v>25799.999999999996</v>
      </c>
      <c r="Y141" s="58">
        <f>(SUM($B$139:$C$139,-SUM(D140:X140)))*Y151</f>
        <v>20640</v>
      </c>
      <c r="Z141" s="58">
        <f>(SUM($B$139:$C$139,-SUM(D140:Y140)))*Z151</f>
        <v>15479.999999999998</v>
      </c>
      <c r="AA141" s="58">
        <f>(SUM($B$139:$C$139,-SUM(D140:Z140)))*AA151</f>
        <v>10320</v>
      </c>
      <c r="AB141" s="58">
        <f>(SUM($B$139:$C$139,-SUM(D140:AA140)))*AB151</f>
        <v>5160</v>
      </c>
      <c r="AC141" s="64"/>
    </row>
    <row r="142" spans="1:29">
      <c r="A142" s="58" t="s">
        <v>191</v>
      </c>
      <c r="D142" s="58">
        <f>('LCOE parameters'!$G$30*Assumptions!$E$12)*('LCOE parameters'!$G$23*Assumptions!$E$4)</f>
        <v>96000</v>
      </c>
      <c r="E142" s="58">
        <f>('LCOE parameters'!$G$30*Assumptions!$E$12)*('LCOE parameters'!$G$23*Assumptions!$E$4)</f>
        <v>96000</v>
      </c>
      <c r="F142" s="58">
        <f>('LCOE parameters'!$G$30*Assumptions!$E$12)*('LCOE parameters'!$G$23*Assumptions!$E$4)</f>
        <v>96000</v>
      </c>
      <c r="G142" s="58">
        <f>('LCOE parameters'!$G$30*Assumptions!$E$12)*('LCOE parameters'!$G$23*Assumptions!$E$4)</f>
        <v>96000</v>
      </c>
      <c r="H142" s="58">
        <f>('LCOE parameters'!$G$30*Assumptions!$E$12)*('LCOE parameters'!$G$23*Assumptions!$E$4)</f>
        <v>96000</v>
      </c>
      <c r="I142" s="58">
        <f>('LCOE parameters'!$G$30*Assumptions!$E$12)*('LCOE parameters'!$G$23*Assumptions!$E$4)</f>
        <v>96000</v>
      </c>
      <c r="J142" s="58">
        <f>('LCOE parameters'!$G$30*Assumptions!$E$12)*('LCOE parameters'!$G$23*Assumptions!$E$4)</f>
        <v>96000</v>
      </c>
      <c r="K142" s="58">
        <f>('LCOE parameters'!$G$30*Assumptions!$E$12)*('LCOE parameters'!$G$23*Assumptions!$E$4)</f>
        <v>96000</v>
      </c>
      <c r="L142" s="58">
        <f>('LCOE parameters'!$G$30*Assumptions!$E$12)*('LCOE parameters'!$G$23*Assumptions!$E$4)</f>
        <v>96000</v>
      </c>
      <c r="M142" s="58">
        <f>('LCOE parameters'!$G$30*Assumptions!$E$12)*('LCOE parameters'!$G$23*Assumptions!$E$4)</f>
        <v>96000</v>
      </c>
      <c r="N142" s="58">
        <f>('LCOE parameters'!$G$30*Assumptions!$E$12)*('LCOE parameters'!$G$23*Assumptions!$E$4)</f>
        <v>96000</v>
      </c>
      <c r="O142" s="58">
        <f>('LCOE parameters'!$G$30*Assumptions!$E$12)*('LCOE parameters'!$G$23*Assumptions!$E$4)</f>
        <v>96000</v>
      </c>
      <c r="P142" s="58">
        <f>('LCOE parameters'!$G$30*Assumptions!$E$12)*('LCOE parameters'!$G$23*Assumptions!$E$4)</f>
        <v>96000</v>
      </c>
      <c r="Q142" s="58">
        <f>('LCOE parameters'!$G$30*Assumptions!$E$12)*('LCOE parameters'!$G$23*Assumptions!$E$4)</f>
        <v>96000</v>
      </c>
      <c r="R142" s="58">
        <f>('LCOE parameters'!$G$30*Assumptions!$E$12)*('LCOE parameters'!$G$23*Assumptions!$E$4)</f>
        <v>96000</v>
      </c>
      <c r="S142" s="58">
        <f>('LCOE parameters'!$G$30*Assumptions!$E$12)*('LCOE parameters'!$G$23*Assumptions!$E$4)</f>
        <v>96000</v>
      </c>
      <c r="T142" s="58">
        <f>('LCOE parameters'!$G$30*Assumptions!$E$12)*('LCOE parameters'!$G$23*Assumptions!$E$4)</f>
        <v>96000</v>
      </c>
      <c r="U142" s="58">
        <f>('LCOE parameters'!$G$30*Assumptions!$E$12)*('LCOE parameters'!$G$23*Assumptions!$E$4)</f>
        <v>96000</v>
      </c>
      <c r="V142" s="58">
        <f>('LCOE parameters'!$G$30*Assumptions!$E$12)*('LCOE parameters'!$G$23*Assumptions!$E$4)</f>
        <v>96000</v>
      </c>
      <c r="W142" s="58">
        <f>('LCOE parameters'!$G$30*Assumptions!$E$12)*('LCOE parameters'!$G$23*Assumptions!$E$4)</f>
        <v>96000</v>
      </c>
      <c r="X142" s="58">
        <f>('LCOE parameters'!$G$30*Assumptions!$E$12)*('LCOE parameters'!$G$23*Assumptions!$E$4)</f>
        <v>96000</v>
      </c>
      <c r="Y142" s="58">
        <f>('LCOE parameters'!$G$30*Assumptions!$E$12)*('LCOE parameters'!$G$23*Assumptions!$E$4)</f>
        <v>96000</v>
      </c>
      <c r="Z142" s="58">
        <f>('LCOE parameters'!$G$30*Assumptions!$E$12)*('LCOE parameters'!$G$23*Assumptions!$E$4)</f>
        <v>96000</v>
      </c>
      <c r="AA142" s="58">
        <f>('LCOE parameters'!$G$30*Assumptions!$E$12)*('LCOE parameters'!$G$23*Assumptions!$E$4)</f>
        <v>96000</v>
      </c>
      <c r="AB142" s="58">
        <f>('LCOE parameters'!$G$30*Assumptions!$E$12)*('LCOE parameters'!$G$23*Assumptions!$E$4)</f>
        <v>96000</v>
      </c>
    </row>
    <row r="143" spans="1:29">
      <c r="A143" s="58" t="s">
        <v>192</v>
      </c>
      <c r="D143" s="58">
        <f>('LCOE parameters'!$G$31)*('LCOE parameters'!$G$24)</f>
        <v>0</v>
      </c>
      <c r="E143" s="58">
        <f>('LCOE parameters'!$G$31)*('LCOE parameters'!$G$24)</f>
        <v>0</v>
      </c>
      <c r="F143" s="58">
        <f>('LCOE parameters'!$G$31)*('LCOE parameters'!$G$24)</f>
        <v>0</v>
      </c>
      <c r="G143" s="58">
        <f>('LCOE parameters'!$G$31)*('LCOE parameters'!$G$24)</f>
        <v>0</v>
      </c>
      <c r="H143" s="58">
        <f>('LCOE parameters'!$G$31)*('LCOE parameters'!$G$24)</f>
        <v>0</v>
      </c>
      <c r="I143" s="58">
        <f>('LCOE parameters'!$G$31)*('LCOE parameters'!$G$24)</f>
        <v>0</v>
      </c>
      <c r="J143" s="58">
        <f>('LCOE parameters'!$G$31)*('LCOE parameters'!$G$24)</f>
        <v>0</v>
      </c>
      <c r="K143" s="58">
        <f>('LCOE parameters'!$G$31)*('LCOE parameters'!$G$24)</f>
        <v>0</v>
      </c>
      <c r="L143" s="58">
        <f>('LCOE parameters'!$G$31)*('LCOE parameters'!$G$24)</f>
        <v>0</v>
      </c>
      <c r="M143" s="58">
        <f>('LCOE parameters'!$G$31)*('LCOE parameters'!$G$24)</f>
        <v>0</v>
      </c>
      <c r="N143" s="58">
        <f>('LCOE parameters'!$G$31)*('LCOE parameters'!$G$24)</f>
        <v>0</v>
      </c>
      <c r="O143" s="58">
        <f>('LCOE parameters'!$G$31)*('LCOE parameters'!$G$24)</f>
        <v>0</v>
      </c>
      <c r="P143" s="58">
        <f>('LCOE parameters'!$G$31)*('LCOE parameters'!$G$24)</f>
        <v>0</v>
      </c>
      <c r="Q143" s="58">
        <f>('LCOE parameters'!$G$31)*('LCOE parameters'!$G$24)</f>
        <v>0</v>
      </c>
      <c r="R143" s="58">
        <f>('LCOE parameters'!$G$31)*('LCOE parameters'!$G$24)</f>
        <v>0</v>
      </c>
      <c r="S143" s="58">
        <f>('LCOE parameters'!$G$31)*('LCOE parameters'!$G$24)</f>
        <v>0</v>
      </c>
      <c r="T143" s="58">
        <f>('LCOE parameters'!$G$31)*('LCOE parameters'!$G$24)</f>
        <v>0</v>
      </c>
      <c r="U143" s="58">
        <f>('LCOE parameters'!$G$31)*('LCOE parameters'!$G$24)</f>
        <v>0</v>
      </c>
      <c r="V143" s="58">
        <f>('LCOE parameters'!$G$31)*('LCOE parameters'!$G$24)</f>
        <v>0</v>
      </c>
      <c r="W143" s="58">
        <f>('LCOE parameters'!$G$31)*('LCOE parameters'!$G$24)</f>
        <v>0</v>
      </c>
      <c r="X143" s="58">
        <f>('LCOE parameters'!$G$31)*('LCOE parameters'!$G$24)</f>
        <v>0</v>
      </c>
      <c r="Y143" s="58">
        <f>('LCOE parameters'!$G$31)*('LCOE parameters'!$G$24)</f>
        <v>0</v>
      </c>
      <c r="Z143" s="58">
        <f>('LCOE parameters'!$G$31)*('LCOE parameters'!$G$24)</f>
        <v>0</v>
      </c>
      <c r="AA143" s="58">
        <f>('LCOE parameters'!$G$31)*('LCOE parameters'!$G$24)</f>
        <v>0</v>
      </c>
      <c r="AB143" s="58">
        <f>('LCOE parameters'!$G$31)*('LCOE parameters'!$G$24)</f>
        <v>0</v>
      </c>
    </row>
    <row r="144" spans="1:29">
      <c r="A144" s="58" t="s">
        <v>194</v>
      </c>
      <c r="D144" s="58">
        <f>'LCOE parameters'!$G$32</f>
        <v>0</v>
      </c>
      <c r="E144" s="58">
        <f>'LCOE parameters'!$G$32</f>
        <v>0</v>
      </c>
      <c r="F144" s="58">
        <f>'LCOE parameters'!$G$32</f>
        <v>0</v>
      </c>
      <c r="G144" s="58">
        <f>'LCOE parameters'!$G$32</f>
        <v>0</v>
      </c>
      <c r="H144" s="58">
        <f>'LCOE parameters'!$G$32</f>
        <v>0</v>
      </c>
      <c r="I144" s="58">
        <f>'LCOE parameters'!$G$32</f>
        <v>0</v>
      </c>
      <c r="J144" s="58">
        <f>'LCOE parameters'!$G$32</f>
        <v>0</v>
      </c>
      <c r="K144" s="58">
        <f>'LCOE parameters'!$G$32</f>
        <v>0</v>
      </c>
      <c r="L144" s="58">
        <f>'LCOE parameters'!$G$32</f>
        <v>0</v>
      </c>
      <c r="M144" s="58">
        <f>'LCOE parameters'!$G$32</f>
        <v>0</v>
      </c>
      <c r="N144" s="58">
        <f>'LCOE parameters'!$G$32</f>
        <v>0</v>
      </c>
      <c r="O144" s="58">
        <f>'LCOE parameters'!$G$32</f>
        <v>0</v>
      </c>
      <c r="P144" s="58">
        <f>'LCOE parameters'!$G$32</f>
        <v>0</v>
      </c>
      <c r="Q144" s="58">
        <f>'LCOE parameters'!$G$32</f>
        <v>0</v>
      </c>
      <c r="R144" s="58">
        <f>'LCOE parameters'!$G$32</f>
        <v>0</v>
      </c>
      <c r="S144" s="58">
        <f>'LCOE parameters'!$G$32</f>
        <v>0</v>
      </c>
      <c r="T144" s="58">
        <f>'LCOE parameters'!$G$32</f>
        <v>0</v>
      </c>
      <c r="U144" s="58">
        <f>'LCOE parameters'!$G$32</f>
        <v>0</v>
      </c>
      <c r="V144" s="58">
        <f>'LCOE parameters'!$G$32</f>
        <v>0</v>
      </c>
      <c r="W144" s="58">
        <f>'LCOE parameters'!$G$32</f>
        <v>0</v>
      </c>
      <c r="X144" s="58">
        <f>'LCOE parameters'!$G$32</f>
        <v>0</v>
      </c>
      <c r="Y144" s="58">
        <f>'LCOE parameters'!$G$32</f>
        <v>0</v>
      </c>
      <c r="Z144" s="58">
        <f>'LCOE parameters'!$G$32</f>
        <v>0</v>
      </c>
      <c r="AA144" s="58">
        <f>'LCOE parameters'!$G$32</f>
        <v>0</v>
      </c>
      <c r="AB144" s="58">
        <f>'LCOE parameters'!$G$32</f>
        <v>0</v>
      </c>
    </row>
    <row r="145" spans="1:28">
      <c r="A145" s="61" t="s">
        <v>195</v>
      </c>
      <c r="B145" s="61"/>
      <c r="C145" s="61"/>
      <c r="D145" s="58">
        <f>SUM(('LCOE parameters'!$G$33*'LCOE parameters'!$G$23*'LCOE parameters'!$G$24),('LCOE parameters'!$G$34*'LCOE parameters'!$G$23*'LCOE parameters'!$G$24),('LCOE parameters'!$G$35*'LCOE parameters'!$G$23*'LCOE parameters'!$G$24),('LCOE parameters'!$G$36*'LCOE parameters'!$G$23*'LCOE parameters'!$G$24))</f>
        <v>0</v>
      </c>
      <c r="E145" s="58">
        <f>SUM(('LCOE parameters'!$G$33*'LCOE parameters'!$G$23*'LCOE parameters'!$G$24),('LCOE parameters'!$G$34*'LCOE parameters'!$G$23*'LCOE parameters'!$G$24),('LCOE parameters'!$G$35*'LCOE parameters'!$G$23*'LCOE parameters'!$G$24),('LCOE parameters'!$G$36*'LCOE parameters'!$G$23*'LCOE parameters'!$G$24))</f>
        <v>0</v>
      </c>
      <c r="F145" s="58">
        <f>SUM(('LCOE parameters'!$G$33*'LCOE parameters'!$G$23*'LCOE parameters'!$G$24),('LCOE parameters'!$G$34*'LCOE parameters'!$G$23*'LCOE parameters'!$G$24),('LCOE parameters'!$G$35*'LCOE parameters'!$G$23*'LCOE parameters'!$G$24),('LCOE parameters'!$G$36*'LCOE parameters'!$G$23*'LCOE parameters'!$G$24))</f>
        <v>0</v>
      </c>
      <c r="G145" s="58">
        <f>SUM(('LCOE parameters'!$G$33*'LCOE parameters'!$G$23*'LCOE parameters'!$G$24),('LCOE parameters'!$G$34*'LCOE parameters'!$G$23*'LCOE parameters'!$G$24),('LCOE parameters'!$G$35*'LCOE parameters'!$G$23*'LCOE parameters'!$G$24),('LCOE parameters'!$G$36*'LCOE parameters'!$G$23*'LCOE parameters'!$G$24))</f>
        <v>0</v>
      </c>
      <c r="H145" s="58">
        <f>SUM(('LCOE parameters'!$G$33*'LCOE parameters'!$G$23*'LCOE parameters'!$G$24),('LCOE parameters'!$G$34*'LCOE parameters'!$G$23*'LCOE parameters'!$G$24),('LCOE parameters'!$G$35*'LCOE parameters'!$G$23*'LCOE parameters'!$G$24),('LCOE parameters'!$G$36*'LCOE parameters'!$G$23*'LCOE parameters'!$G$24))</f>
        <v>0</v>
      </c>
      <c r="I145" s="58">
        <f>SUM(('LCOE parameters'!$G$33*'LCOE parameters'!$G$23*'LCOE parameters'!$G$24),('LCOE parameters'!$G$34*'LCOE parameters'!$G$23*'LCOE parameters'!$G$24),('LCOE parameters'!$G$35*'LCOE parameters'!$G$23*'LCOE parameters'!$G$24),('LCOE parameters'!$G$36*'LCOE parameters'!$G$23*'LCOE parameters'!$G$24))</f>
        <v>0</v>
      </c>
      <c r="J145" s="58">
        <f>SUM(('LCOE parameters'!$G$33*'LCOE parameters'!$G$23*'LCOE parameters'!$G$24),('LCOE parameters'!$G$34*'LCOE parameters'!$G$23*'LCOE parameters'!$G$24),('LCOE parameters'!$G$35*'LCOE parameters'!$G$23*'LCOE parameters'!$G$24),('LCOE parameters'!$G$36*'LCOE parameters'!$G$23*'LCOE parameters'!$G$24))</f>
        <v>0</v>
      </c>
      <c r="K145" s="58">
        <f>SUM(('LCOE parameters'!$G$33*'LCOE parameters'!$G$23*'LCOE parameters'!$G$24),('LCOE parameters'!$G$34*'LCOE parameters'!$G$23*'LCOE parameters'!$G$24),('LCOE parameters'!$G$35*'LCOE parameters'!$G$23*'LCOE parameters'!$G$24),('LCOE parameters'!$G$36*'LCOE parameters'!$G$23*'LCOE parameters'!$G$24))</f>
        <v>0</v>
      </c>
      <c r="L145" s="58">
        <f>SUM(('LCOE parameters'!$G$33*'LCOE parameters'!$G$23*'LCOE parameters'!$G$24),('LCOE parameters'!$G$34*'LCOE parameters'!$G$23*'LCOE parameters'!$G$24),('LCOE parameters'!$G$35*'LCOE parameters'!$G$23*'LCOE parameters'!$G$24),('LCOE parameters'!$G$36*'LCOE parameters'!$G$23*'LCOE parameters'!$G$24))</f>
        <v>0</v>
      </c>
      <c r="M145" s="58">
        <f>SUM(('LCOE parameters'!$G$33*'LCOE parameters'!$G$23*'LCOE parameters'!$G$24),('LCOE parameters'!$G$34*'LCOE parameters'!$G$23*'LCOE parameters'!$G$24),('LCOE parameters'!$G$35*'LCOE parameters'!$G$23*'LCOE parameters'!$G$24),('LCOE parameters'!$G$36*'LCOE parameters'!$G$23*'LCOE parameters'!$G$24))</f>
        <v>0</v>
      </c>
      <c r="N145" s="58">
        <f>SUM(('LCOE parameters'!$G$33*'LCOE parameters'!$G$23*'LCOE parameters'!$G$24),('LCOE parameters'!$G$34*'LCOE parameters'!$G$23*'LCOE parameters'!$G$24),('LCOE parameters'!$G$35*'LCOE parameters'!$G$23*'LCOE parameters'!$G$24),('LCOE parameters'!$G$36*'LCOE parameters'!$G$23*'LCOE parameters'!$G$24))</f>
        <v>0</v>
      </c>
      <c r="O145" s="58">
        <f>SUM(('LCOE parameters'!$G$33*'LCOE parameters'!$G$23*'LCOE parameters'!$G$24),('LCOE parameters'!$G$34*'LCOE parameters'!$G$23*'LCOE parameters'!$G$24),('LCOE parameters'!$G$35*'LCOE parameters'!$G$23*'LCOE parameters'!$G$24),('LCOE parameters'!$G$36*'LCOE parameters'!$G$23*'LCOE parameters'!$G$24))</f>
        <v>0</v>
      </c>
      <c r="P145" s="58">
        <f>SUM(('LCOE parameters'!$G$33*'LCOE parameters'!$G$23*'LCOE parameters'!$G$24),('LCOE parameters'!$G$34*'LCOE parameters'!$G$23*'LCOE parameters'!$G$24),('LCOE parameters'!$G$35*'LCOE parameters'!$G$23*'LCOE parameters'!$G$24),('LCOE parameters'!$G$36*'LCOE parameters'!$G$23*'LCOE parameters'!$G$24))</f>
        <v>0</v>
      </c>
      <c r="Q145" s="58">
        <f>SUM(('LCOE parameters'!$G$33*'LCOE parameters'!$G$23*'LCOE parameters'!$G$24),('LCOE parameters'!$G$34*'LCOE parameters'!$G$23*'LCOE parameters'!$G$24),('LCOE parameters'!$G$35*'LCOE parameters'!$G$23*'LCOE parameters'!$G$24),('LCOE parameters'!$G$36*'LCOE parameters'!$G$23*'LCOE parameters'!$G$24))</f>
        <v>0</v>
      </c>
      <c r="R145" s="58">
        <f>SUM(('LCOE parameters'!$G$33*'LCOE parameters'!$G$23*'LCOE parameters'!$G$24),('LCOE parameters'!$G$34*'LCOE parameters'!$G$23*'LCOE parameters'!$G$24),('LCOE parameters'!$G$35*'LCOE parameters'!$G$23*'LCOE parameters'!$G$24),('LCOE parameters'!$G$36*'LCOE parameters'!$G$23*'LCOE parameters'!$G$24))</f>
        <v>0</v>
      </c>
      <c r="S145" s="58">
        <f>SUM(('LCOE parameters'!$G$33*'LCOE parameters'!$G$23*'LCOE parameters'!$G$24),('LCOE parameters'!$G$34*'LCOE parameters'!$G$23*'LCOE parameters'!$G$24),('LCOE parameters'!$G$35*'LCOE parameters'!$G$23*'LCOE parameters'!$G$24),('LCOE parameters'!$G$36*'LCOE parameters'!$G$23*'LCOE parameters'!$G$24))</f>
        <v>0</v>
      </c>
      <c r="T145" s="58">
        <f>SUM(('LCOE parameters'!$G$33*'LCOE parameters'!$G$23*'LCOE parameters'!$G$24),('LCOE parameters'!$G$34*'LCOE parameters'!$G$23*'LCOE parameters'!$G$24),('LCOE parameters'!$G$35*'LCOE parameters'!$G$23*'LCOE parameters'!$G$24),('LCOE parameters'!$G$36*'LCOE parameters'!$G$23*'LCOE parameters'!$G$24))</f>
        <v>0</v>
      </c>
      <c r="U145" s="58">
        <f>SUM(('LCOE parameters'!$G$33*'LCOE parameters'!$G$23*'LCOE parameters'!$G$24),('LCOE parameters'!$G$34*'LCOE parameters'!$G$23*'LCOE parameters'!$G$24),('LCOE parameters'!$G$35*'LCOE parameters'!$G$23*'LCOE parameters'!$G$24),('LCOE parameters'!$G$36*'LCOE parameters'!$G$23*'LCOE parameters'!$G$24))</f>
        <v>0</v>
      </c>
      <c r="V145" s="58">
        <f>SUM(('LCOE parameters'!$G$33*'LCOE parameters'!$G$23*'LCOE parameters'!$G$24),('LCOE parameters'!$G$34*'LCOE parameters'!$G$23*'LCOE parameters'!$G$24),('LCOE parameters'!$G$35*'LCOE parameters'!$G$23*'LCOE parameters'!$G$24),('LCOE parameters'!$G$36*'LCOE parameters'!$G$23*'LCOE parameters'!$G$24))</f>
        <v>0</v>
      </c>
      <c r="W145" s="58">
        <f>SUM(('LCOE parameters'!$G$33*'LCOE parameters'!$G$23*'LCOE parameters'!$G$24),('LCOE parameters'!$G$34*'LCOE parameters'!$G$23*'LCOE parameters'!$G$24),('LCOE parameters'!$G$35*'LCOE parameters'!$G$23*'LCOE parameters'!$G$24),('LCOE parameters'!$G$36*'LCOE parameters'!$G$23*'LCOE parameters'!$G$24))</f>
        <v>0</v>
      </c>
      <c r="X145" s="58">
        <f>SUM(('LCOE parameters'!$G$33*'LCOE parameters'!$G$23*'LCOE parameters'!$G$24),('LCOE parameters'!$G$34*'LCOE parameters'!$G$23*'LCOE parameters'!$G$24),('LCOE parameters'!$G$35*'LCOE parameters'!$G$23*'LCOE parameters'!$G$24),('LCOE parameters'!$G$36*'LCOE parameters'!$G$23*'LCOE parameters'!$G$24))</f>
        <v>0</v>
      </c>
      <c r="Y145" s="58">
        <f>SUM(('LCOE parameters'!$G$33*'LCOE parameters'!$G$23*'LCOE parameters'!$G$24),('LCOE parameters'!$G$34*'LCOE parameters'!$G$23*'LCOE parameters'!$G$24),('LCOE parameters'!$G$35*'LCOE parameters'!$G$23*'LCOE parameters'!$G$24),('LCOE parameters'!$G$36*'LCOE parameters'!$G$23*'LCOE parameters'!$G$24))</f>
        <v>0</v>
      </c>
      <c r="Z145" s="58">
        <f>SUM(('LCOE parameters'!$G$33*'LCOE parameters'!$G$23*'LCOE parameters'!$G$24),('LCOE parameters'!$G$34*'LCOE parameters'!$G$23*'LCOE parameters'!$G$24),('LCOE parameters'!$G$35*'LCOE parameters'!$G$23*'LCOE parameters'!$G$24),('LCOE parameters'!$G$36*'LCOE parameters'!$G$23*'LCOE parameters'!$G$24))</f>
        <v>0</v>
      </c>
      <c r="AA145" s="58">
        <f>SUM(('LCOE parameters'!$G$33*'LCOE parameters'!$G$23*'LCOE parameters'!$G$24),('LCOE parameters'!$G$34*'LCOE parameters'!$G$23*'LCOE parameters'!$G$24),('LCOE parameters'!$G$35*'LCOE parameters'!$G$23*'LCOE parameters'!$G$24),('LCOE parameters'!$G$36*'LCOE parameters'!$G$23*'LCOE parameters'!$G$24))</f>
        <v>0</v>
      </c>
      <c r="AB145" s="58">
        <f>SUM(('LCOE parameters'!$G$33*'LCOE parameters'!$G$23*'LCOE parameters'!$G$24),('LCOE parameters'!$G$34*'LCOE parameters'!$G$23*'LCOE parameters'!$G$24),('LCOE parameters'!$G$35*'LCOE parameters'!$G$23*'LCOE parameters'!$G$24),('LCOE parameters'!$G$36*'LCOE parameters'!$G$23*'LCOE parameters'!$G$24))</f>
        <v>0</v>
      </c>
    </row>
    <row r="146" spans="1:28">
      <c r="A146" s="61" t="s">
        <v>196</v>
      </c>
      <c r="B146" s="61"/>
      <c r="C146" s="61"/>
      <c r="D146" s="58">
        <f>'LCOE parameters'!$G$37</f>
        <v>0</v>
      </c>
      <c r="E146" s="58">
        <f>'LCOE parameters'!$G$37</f>
        <v>0</v>
      </c>
      <c r="F146" s="58">
        <f>'LCOE parameters'!$G$37</f>
        <v>0</v>
      </c>
      <c r="G146" s="58">
        <f>'LCOE parameters'!$G$37</f>
        <v>0</v>
      </c>
      <c r="H146" s="58">
        <f>'LCOE parameters'!$G$37</f>
        <v>0</v>
      </c>
      <c r="I146" s="58">
        <f>'LCOE parameters'!$G$37</f>
        <v>0</v>
      </c>
      <c r="J146" s="58">
        <f>'LCOE parameters'!$G$37</f>
        <v>0</v>
      </c>
      <c r="K146" s="58">
        <f>'LCOE parameters'!$G$37</f>
        <v>0</v>
      </c>
      <c r="L146" s="58">
        <f>'LCOE parameters'!$G$37</f>
        <v>0</v>
      </c>
      <c r="M146" s="58">
        <f>'LCOE parameters'!$G$37</f>
        <v>0</v>
      </c>
      <c r="N146" s="58">
        <f>'LCOE parameters'!$G$37</f>
        <v>0</v>
      </c>
      <c r="O146" s="58">
        <f>'LCOE parameters'!$G$37</f>
        <v>0</v>
      </c>
      <c r="P146" s="58">
        <f>'LCOE parameters'!$G$37</f>
        <v>0</v>
      </c>
      <c r="Q146" s="58">
        <f>'LCOE parameters'!$G$37</f>
        <v>0</v>
      </c>
      <c r="R146" s="58">
        <f>'LCOE parameters'!$G$37</f>
        <v>0</v>
      </c>
      <c r="S146" s="58">
        <f>'LCOE parameters'!$G$37</f>
        <v>0</v>
      </c>
      <c r="T146" s="58">
        <f>'LCOE parameters'!$G$37</f>
        <v>0</v>
      </c>
      <c r="U146" s="58">
        <f>'LCOE parameters'!$G$37</f>
        <v>0</v>
      </c>
      <c r="V146" s="58">
        <f>'LCOE parameters'!$G$37</f>
        <v>0</v>
      </c>
      <c r="W146" s="58">
        <f>'LCOE parameters'!$G$37</f>
        <v>0</v>
      </c>
      <c r="X146" s="58">
        <f>'LCOE parameters'!$G$37</f>
        <v>0</v>
      </c>
      <c r="Y146" s="58">
        <f>'LCOE parameters'!$G$37</f>
        <v>0</v>
      </c>
      <c r="Z146" s="58">
        <f>'LCOE parameters'!$G$37</f>
        <v>0</v>
      </c>
      <c r="AA146" s="58">
        <f>'LCOE parameters'!$G$37</f>
        <v>0</v>
      </c>
      <c r="AB146" s="58">
        <f>'LCOE parameters'!$G$37</f>
        <v>0</v>
      </c>
    </row>
    <row r="147" spans="1:28">
      <c r="A147" s="61" t="s">
        <v>197</v>
      </c>
      <c r="B147" s="61"/>
      <c r="C147" s="61"/>
      <c r="D147" s="58">
        <f>('LCOE parameters'!$G$38*Assumptions!$E$17)*('LCOE parameters'!$G$23*Assumptions!$E$4)</f>
        <v>6000</v>
      </c>
      <c r="E147" s="58">
        <f>('LCOE parameters'!$G$38*Assumptions!$E$17)*('LCOE parameters'!$G$23*Assumptions!$E$4)</f>
        <v>6000</v>
      </c>
      <c r="F147" s="58">
        <f>('LCOE parameters'!$G$38*Assumptions!$E$17)*('LCOE parameters'!$G$23*Assumptions!$E$4)</f>
        <v>6000</v>
      </c>
      <c r="G147" s="58">
        <f>('LCOE parameters'!$G$38*Assumptions!$E$17)*('LCOE parameters'!$G$23*Assumptions!$E$4)</f>
        <v>6000</v>
      </c>
      <c r="H147" s="58">
        <f>('LCOE parameters'!$G$38*Assumptions!$E$17)*('LCOE parameters'!$G$23*Assumptions!$E$4)</f>
        <v>6000</v>
      </c>
      <c r="I147" s="58">
        <f>('LCOE parameters'!$G$38*Assumptions!$E$17)*('LCOE parameters'!$G$23*Assumptions!$E$4)</f>
        <v>6000</v>
      </c>
      <c r="J147" s="58">
        <f>('LCOE parameters'!$G$38*Assumptions!$E$17)*('LCOE parameters'!$G$23*Assumptions!$E$4)</f>
        <v>6000</v>
      </c>
      <c r="K147" s="58">
        <f>('LCOE parameters'!$G$38*Assumptions!$E$17)*('LCOE parameters'!$G$23*Assumptions!$E$4)</f>
        <v>6000</v>
      </c>
      <c r="L147" s="58">
        <f>('LCOE parameters'!$G$38*Assumptions!$E$17)*('LCOE parameters'!$G$23*Assumptions!$E$4)</f>
        <v>6000</v>
      </c>
      <c r="M147" s="58">
        <f>('LCOE parameters'!$G$38*Assumptions!$E$17)*('LCOE parameters'!$G$23*Assumptions!$E$4)</f>
        <v>6000</v>
      </c>
      <c r="N147" s="58">
        <f>('LCOE parameters'!$G$38*Assumptions!$E$17)*('LCOE parameters'!$G$23*Assumptions!$E$4)</f>
        <v>6000</v>
      </c>
      <c r="O147" s="58">
        <f>('LCOE parameters'!$G$38*Assumptions!$E$17)*('LCOE parameters'!$G$23*Assumptions!$E$4)</f>
        <v>6000</v>
      </c>
      <c r="P147" s="58">
        <f>('LCOE parameters'!$G$38*Assumptions!$E$17)*('LCOE parameters'!$G$23*Assumptions!$E$4)</f>
        <v>6000</v>
      </c>
      <c r="Q147" s="58">
        <f>('LCOE parameters'!$G$38*Assumptions!$E$17)*('LCOE parameters'!$G$23*Assumptions!$E$4)</f>
        <v>6000</v>
      </c>
      <c r="R147" s="58">
        <f>('LCOE parameters'!$G$38*Assumptions!$E$17)*('LCOE parameters'!$G$23*Assumptions!$E$4)</f>
        <v>6000</v>
      </c>
      <c r="S147" s="58">
        <f>('LCOE parameters'!$G$38*Assumptions!$E$17)*('LCOE parameters'!$G$23*Assumptions!$E$4)</f>
        <v>6000</v>
      </c>
      <c r="T147" s="58">
        <f>('LCOE parameters'!$G$38*Assumptions!$E$17)*('LCOE parameters'!$G$23*Assumptions!$E$4)</f>
        <v>6000</v>
      </c>
      <c r="U147" s="58">
        <f>('LCOE parameters'!$G$38*Assumptions!$E$17)*('LCOE parameters'!$G$23*Assumptions!$E$4)</f>
        <v>6000</v>
      </c>
      <c r="V147" s="58">
        <f>('LCOE parameters'!$G$38*Assumptions!$E$17)*('LCOE parameters'!$G$23*Assumptions!$E$4)</f>
        <v>6000</v>
      </c>
      <c r="W147" s="58">
        <f>('LCOE parameters'!$G$38*Assumptions!$E$17)*('LCOE parameters'!$G$23*Assumptions!$E$4)</f>
        <v>6000</v>
      </c>
      <c r="X147" s="58">
        <f>('LCOE parameters'!$G$38*Assumptions!$E$17)*('LCOE parameters'!$G$23*Assumptions!$E$4)</f>
        <v>6000</v>
      </c>
      <c r="Y147" s="58">
        <f>('LCOE parameters'!$G$38*Assumptions!$E$17)*('LCOE parameters'!$G$23*Assumptions!$E$4)</f>
        <v>6000</v>
      </c>
      <c r="Z147" s="58">
        <f>('LCOE parameters'!$G$38*Assumptions!$E$17)*('LCOE parameters'!$G$23*Assumptions!$E$4)</f>
        <v>6000</v>
      </c>
      <c r="AA147" s="58">
        <f>('LCOE parameters'!$G$38*Assumptions!$E$17)*('LCOE parameters'!$G$23*Assumptions!$E$4)</f>
        <v>6000</v>
      </c>
      <c r="AB147" s="58">
        <f>('LCOE parameters'!$G$38*Assumptions!$E$17)*('LCOE parameters'!$G$23*Assumptions!$E$4)</f>
        <v>6000</v>
      </c>
    </row>
    <row r="148" spans="1:28">
      <c r="A148" s="58" t="s">
        <v>158</v>
      </c>
      <c r="B148" s="58">
        <f>'LCOE parameters'!$G$23*'LCOE parameters'!$G$24*'LCOE parameters'!$B$49*'LCOE parameters'!$B$50*0.5</f>
        <v>56528.741417203069</v>
      </c>
      <c r="C148" s="58">
        <f>'LCOE parameters'!$G$23*'LCOE parameters'!$G$24*'LCOE parameters'!$B$49*'LCOE parameters'!$B$50</f>
        <v>113057.48283440614</v>
      </c>
    </row>
    <row r="149" spans="1:28">
      <c r="A149" s="58" t="s">
        <v>210</v>
      </c>
      <c r="B149" s="58">
        <f>'LCOE parameters'!$G$49*'LCOE parameters'!$G$53*'LCOE parameters'!$G$42*'LCOE parameters'!$G$23*'LCOE parameters'!$G$24*(1/3)</f>
        <v>87750</v>
      </c>
      <c r="C149" s="58">
        <f>'LCOE parameters'!$G$49*'LCOE parameters'!$G$53*'LCOE parameters'!$G$42*'LCOE parameters'!$G$23*'LCOE parameters'!$G$24*(2/3)</f>
        <v>175500</v>
      </c>
    </row>
    <row r="150" spans="1:28">
      <c r="A150" s="58" t="s">
        <v>149</v>
      </c>
      <c r="D150" s="58">
        <f>('LCOE parameters'!$G$23*Assumptions!$E$4)*('LCOE parameters'!$G$24*Assumptions!$E$6)</f>
        <v>13500</v>
      </c>
      <c r="E150" s="58">
        <f>('LCOE parameters'!$G$23*Assumptions!$E$4)*('LCOE parameters'!$G$24*Assumptions!$E$6)</f>
        <v>13500</v>
      </c>
      <c r="F150" s="58">
        <f>('LCOE parameters'!$G$23*Assumptions!$E$4)*('LCOE parameters'!$G$24*Assumptions!$E$6)</f>
        <v>13500</v>
      </c>
      <c r="G150" s="58">
        <f>('LCOE parameters'!$G$23*Assumptions!$E$4)*('LCOE parameters'!$G$24*Assumptions!$E$6)</f>
        <v>13500</v>
      </c>
      <c r="H150" s="58">
        <f>('LCOE parameters'!$G$23*Assumptions!$E$4)*('LCOE parameters'!$G$24*Assumptions!$E$6)</f>
        <v>13500</v>
      </c>
      <c r="I150" s="58">
        <f>('LCOE parameters'!$G$23*Assumptions!$E$4)*('LCOE parameters'!$G$24*Assumptions!$E$6)</f>
        <v>13500</v>
      </c>
      <c r="J150" s="58">
        <f>('LCOE parameters'!$G$23*Assumptions!$E$4)*('LCOE parameters'!$G$24*Assumptions!$E$6)</f>
        <v>13500</v>
      </c>
      <c r="K150" s="58">
        <f>('LCOE parameters'!$G$23*Assumptions!$E$4)*('LCOE parameters'!$G$24*Assumptions!$E$6)</f>
        <v>13500</v>
      </c>
      <c r="L150" s="58">
        <f>('LCOE parameters'!$G$23*Assumptions!$E$4)*('LCOE parameters'!$G$24*Assumptions!$E$6)</f>
        <v>13500</v>
      </c>
      <c r="M150" s="58">
        <f>('LCOE parameters'!$G$23*Assumptions!$E$4)*('LCOE parameters'!$G$24*Assumptions!$E$6)</f>
        <v>13500</v>
      </c>
      <c r="N150" s="58">
        <f>('LCOE parameters'!$G$23*Assumptions!$E$4)*('LCOE parameters'!$G$24*Assumptions!$E$6)</f>
        <v>13500</v>
      </c>
      <c r="O150" s="58">
        <f>('LCOE parameters'!$G$23*Assumptions!$E$4)*('LCOE parameters'!$G$24*Assumptions!$E$6)</f>
        <v>13500</v>
      </c>
      <c r="P150" s="58">
        <f>('LCOE parameters'!$G$23*Assumptions!$E$4)*('LCOE parameters'!$G$24*Assumptions!$E$6)</f>
        <v>13500</v>
      </c>
      <c r="Q150" s="58">
        <f>('LCOE parameters'!$G$23*Assumptions!$E$4)*('LCOE parameters'!$G$24*Assumptions!$E$6)</f>
        <v>13500</v>
      </c>
      <c r="R150" s="58">
        <f>('LCOE parameters'!$G$23*Assumptions!$E$4)*('LCOE parameters'!$G$24*Assumptions!$E$6)</f>
        <v>13500</v>
      </c>
      <c r="S150" s="58">
        <f>('LCOE parameters'!$G$23*Assumptions!$E$4)*('LCOE parameters'!$G$24*Assumptions!$E$6)</f>
        <v>13500</v>
      </c>
      <c r="T150" s="58">
        <f>('LCOE parameters'!$G$23*Assumptions!$E$4)*('LCOE parameters'!$G$24*Assumptions!$E$6)</f>
        <v>13500</v>
      </c>
      <c r="U150" s="58">
        <f>('LCOE parameters'!$G$23*Assumptions!$E$4)*('LCOE parameters'!$G$24*Assumptions!$E$6)</f>
        <v>13500</v>
      </c>
      <c r="V150" s="58">
        <f>('LCOE parameters'!$G$23*Assumptions!$E$4)*('LCOE parameters'!$G$24*Assumptions!$E$6)</f>
        <v>13500</v>
      </c>
      <c r="W150" s="58">
        <f>('LCOE parameters'!$G$23*Assumptions!$E$4)*('LCOE parameters'!$G$24*Assumptions!$E$6)</f>
        <v>13500</v>
      </c>
      <c r="X150" s="58">
        <f>('LCOE parameters'!$G$23*Assumptions!$E$4)*('LCOE parameters'!$G$24*Assumptions!$E$6)</f>
        <v>13500</v>
      </c>
      <c r="Y150" s="58">
        <f>('LCOE parameters'!$G$23*Assumptions!$E$4)*('LCOE parameters'!$G$24*Assumptions!$E$6)</f>
        <v>13500</v>
      </c>
      <c r="Z150" s="58">
        <f>('LCOE parameters'!$G$23*Assumptions!$E$4)*('LCOE parameters'!$G$24*Assumptions!$E$6)</f>
        <v>13500</v>
      </c>
      <c r="AA150" s="58">
        <f>('LCOE parameters'!$G$23*Assumptions!$E$4)*('LCOE parameters'!$G$24*Assumptions!$E$6)</f>
        <v>13500</v>
      </c>
      <c r="AB150" s="58">
        <f>('LCOE parameters'!$G$23*Assumptions!$E$4)*('LCOE parameters'!$G$24*Assumptions!$E$6)</f>
        <v>13500</v>
      </c>
    </row>
    <row r="151" spans="1:28">
      <c r="A151" s="58" t="s">
        <v>166</v>
      </c>
      <c r="B151" s="63">
        <f>'LCOE parameters'!$G$28*Assumptions!$E$11</f>
        <v>4.2999999999999997E-2</v>
      </c>
      <c r="C151" s="63">
        <f>'LCOE parameters'!$G$28*Assumptions!$E$11</f>
        <v>4.2999999999999997E-2</v>
      </c>
      <c r="D151" s="63">
        <f>'LCOE parameters'!$G$28*Assumptions!$E$11</f>
        <v>4.2999999999999997E-2</v>
      </c>
      <c r="E151" s="63">
        <f>'LCOE parameters'!$G$28*Assumptions!$E$11</f>
        <v>4.2999999999999997E-2</v>
      </c>
      <c r="F151" s="63">
        <f>'LCOE parameters'!$G$28*Assumptions!$E$11</f>
        <v>4.2999999999999997E-2</v>
      </c>
      <c r="G151" s="63">
        <f>'LCOE parameters'!$G$28*Assumptions!$E$11</f>
        <v>4.2999999999999997E-2</v>
      </c>
      <c r="H151" s="63">
        <f>'LCOE parameters'!$G$28*Assumptions!$E$11</f>
        <v>4.2999999999999997E-2</v>
      </c>
      <c r="I151" s="63">
        <f>'LCOE parameters'!$G$28*Assumptions!$E$11</f>
        <v>4.2999999999999997E-2</v>
      </c>
      <c r="J151" s="63">
        <f>'LCOE parameters'!$G$28*Assumptions!$E$11</f>
        <v>4.2999999999999997E-2</v>
      </c>
      <c r="K151" s="63">
        <f>'LCOE parameters'!$G$28*Assumptions!$E$11</f>
        <v>4.2999999999999997E-2</v>
      </c>
      <c r="L151" s="63">
        <f>'LCOE parameters'!$G$28*Assumptions!$E$11</f>
        <v>4.2999999999999997E-2</v>
      </c>
      <c r="M151" s="63">
        <f>'LCOE parameters'!$G$28*Assumptions!$E$11</f>
        <v>4.2999999999999997E-2</v>
      </c>
      <c r="N151" s="63">
        <f>'LCOE parameters'!$G$28*Assumptions!$E$11</f>
        <v>4.2999999999999997E-2</v>
      </c>
      <c r="O151" s="63">
        <f>'LCOE parameters'!$G$28*Assumptions!$E$11</f>
        <v>4.2999999999999997E-2</v>
      </c>
      <c r="P151" s="63">
        <f>'LCOE parameters'!$G$28*Assumptions!$E$11</f>
        <v>4.2999999999999997E-2</v>
      </c>
      <c r="Q151" s="63">
        <f>'LCOE parameters'!$G$28*Assumptions!$E$11</f>
        <v>4.2999999999999997E-2</v>
      </c>
      <c r="R151" s="63">
        <f>'LCOE parameters'!$G$28*Assumptions!$E$11</f>
        <v>4.2999999999999997E-2</v>
      </c>
      <c r="S151" s="63">
        <f>'LCOE parameters'!$G$28*Assumptions!$E$11</f>
        <v>4.2999999999999997E-2</v>
      </c>
      <c r="T151" s="63">
        <f>'LCOE parameters'!$G$28*Assumptions!$E$11</f>
        <v>4.2999999999999997E-2</v>
      </c>
      <c r="U151" s="63">
        <f>'LCOE parameters'!$G$28*Assumptions!$E$11</f>
        <v>4.2999999999999997E-2</v>
      </c>
      <c r="V151" s="63">
        <f>'LCOE parameters'!$G$28*Assumptions!$E$11</f>
        <v>4.2999999999999997E-2</v>
      </c>
      <c r="W151" s="63">
        <f>'LCOE parameters'!$G$28*Assumptions!$E$11</f>
        <v>4.2999999999999997E-2</v>
      </c>
      <c r="X151" s="63">
        <f>'LCOE parameters'!$G$28*Assumptions!$E$11</f>
        <v>4.2999999999999997E-2</v>
      </c>
      <c r="Y151" s="63">
        <f>'LCOE parameters'!$G$28*Assumptions!$E$11</f>
        <v>4.2999999999999997E-2</v>
      </c>
      <c r="Z151" s="63">
        <f>'LCOE parameters'!$G$28*Assumptions!$E$11</f>
        <v>4.2999999999999997E-2</v>
      </c>
      <c r="AA151" s="63">
        <f>'LCOE parameters'!$G$28*Assumptions!$E$11</f>
        <v>4.2999999999999997E-2</v>
      </c>
      <c r="AB151" s="63">
        <f>'LCOE parameters'!$G$28*Assumptions!$E$11</f>
        <v>4.2999999999999997E-2</v>
      </c>
    </row>
    <row r="152" spans="1:28">
      <c r="A152" s="64" t="s">
        <v>173</v>
      </c>
      <c r="B152" s="63">
        <f>'LCOE parameters'!$G$28*Assumptions!$E$11</f>
        <v>4.2999999999999997E-2</v>
      </c>
      <c r="C152" s="63">
        <f>'LCOE parameters'!$G$28*Assumptions!$E$11</f>
        <v>4.2999999999999997E-2</v>
      </c>
      <c r="D152" s="63">
        <f>'LCOE parameters'!$G$28*Assumptions!$E$11</f>
        <v>4.2999999999999997E-2</v>
      </c>
      <c r="E152" s="63">
        <f>'LCOE parameters'!$G$28*Assumptions!$E$11</f>
        <v>4.2999999999999997E-2</v>
      </c>
      <c r="F152" s="63">
        <f>'LCOE parameters'!$G$28*Assumptions!$E$11</f>
        <v>4.2999999999999997E-2</v>
      </c>
      <c r="G152" s="63">
        <f>'LCOE parameters'!$G$28*Assumptions!$E$11</f>
        <v>4.2999999999999997E-2</v>
      </c>
      <c r="H152" s="63">
        <f>'LCOE parameters'!$G$28*Assumptions!$E$11</f>
        <v>4.2999999999999997E-2</v>
      </c>
      <c r="I152" s="63">
        <f>'LCOE parameters'!$G$28*Assumptions!$E$11</f>
        <v>4.2999999999999997E-2</v>
      </c>
      <c r="J152" s="63">
        <f>'LCOE parameters'!$G$28*Assumptions!$E$11</f>
        <v>4.2999999999999997E-2</v>
      </c>
      <c r="K152" s="63">
        <f>'LCOE parameters'!$G$28*Assumptions!$E$11</f>
        <v>4.2999999999999997E-2</v>
      </c>
      <c r="L152" s="63">
        <f>'LCOE parameters'!$G$28*Assumptions!$E$11</f>
        <v>4.2999999999999997E-2</v>
      </c>
      <c r="M152" s="63">
        <f>'LCOE parameters'!$G$28*Assumptions!$E$11</f>
        <v>4.2999999999999997E-2</v>
      </c>
      <c r="N152" s="63">
        <f>'LCOE parameters'!$G$28*Assumptions!$E$11</f>
        <v>4.2999999999999997E-2</v>
      </c>
      <c r="O152" s="63">
        <f>'LCOE parameters'!$G$28*Assumptions!$E$11</f>
        <v>4.2999999999999997E-2</v>
      </c>
      <c r="P152" s="63">
        <f>'LCOE parameters'!$G$28*Assumptions!$E$11</f>
        <v>4.2999999999999997E-2</v>
      </c>
      <c r="Q152" s="63">
        <f>'LCOE parameters'!$G$28*Assumptions!$E$11</f>
        <v>4.2999999999999997E-2</v>
      </c>
      <c r="R152" s="63">
        <f>'LCOE parameters'!$G$28*Assumptions!$E$11</f>
        <v>4.2999999999999997E-2</v>
      </c>
      <c r="S152" s="63">
        <f>'LCOE parameters'!$G$28*Assumptions!$E$11</f>
        <v>4.2999999999999997E-2</v>
      </c>
      <c r="T152" s="63">
        <f>'LCOE parameters'!$G$28*Assumptions!$E$11</f>
        <v>4.2999999999999997E-2</v>
      </c>
      <c r="U152" s="63">
        <f>'LCOE parameters'!$G$28*Assumptions!$E$11</f>
        <v>4.2999999999999997E-2</v>
      </c>
      <c r="V152" s="63">
        <f>'LCOE parameters'!$G$28*Assumptions!$E$11</f>
        <v>4.2999999999999997E-2</v>
      </c>
      <c r="W152" s="63">
        <f>'LCOE parameters'!$G$28*Assumptions!$E$11</f>
        <v>4.2999999999999997E-2</v>
      </c>
      <c r="X152" s="63">
        <f>'LCOE parameters'!$G$28*Assumptions!$E$11</f>
        <v>4.2999999999999997E-2</v>
      </c>
      <c r="Y152" s="63">
        <f>'LCOE parameters'!$G$28*Assumptions!$E$11</f>
        <v>4.2999999999999997E-2</v>
      </c>
      <c r="Z152" s="63">
        <f>'LCOE parameters'!$G$28*Assumptions!$E$11</f>
        <v>4.2999999999999997E-2</v>
      </c>
      <c r="AA152" s="63">
        <f>'LCOE parameters'!$G$28*Assumptions!$E$11</f>
        <v>4.2999999999999997E-2</v>
      </c>
      <c r="AB152" s="63">
        <f>'LCOE parameters'!$G$28*Assumptions!$E$11</f>
        <v>4.2999999999999997E-2</v>
      </c>
    </row>
    <row r="153" spans="1:28">
      <c r="A153" s="58" t="s">
        <v>151</v>
      </c>
      <c r="D153" s="58">
        <f>'LCOE parameters'!$G$42</f>
        <v>25</v>
      </c>
      <c r="E153" s="58">
        <f>'LCOE parameters'!$G$42</f>
        <v>25</v>
      </c>
      <c r="F153" s="58">
        <f>'LCOE parameters'!$G$42</f>
        <v>25</v>
      </c>
      <c r="G153" s="58">
        <f>'LCOE parameters'!$G$42</f>
        <v>25</v>
      </c>
      <c r="H153" s="58">
        <f>'LCOE parameters'!$G$42</f>
        <v>25</v>
      </c>
      <c r="I153" s="58">
        <f>'LCOE parameters'!$G$42</f>
        <v>25</v>
      </c>
      <c r="J153" s="58">
        <f>'LCOE parameters'!$G$42</f>
        <v>25</v>
      </c>
      <c r="K153" s="58">
        <f>'LCOE parameters'!$G$42</f>
        <v>25</v>
      </c>
      <c r="L153" s="58">
        <f>'LCOE parameters'!$G$42</f>
        <v>25</v>
      </c>
      <c r="M153" s="58">
        <f>'LCOE parameters'!$G$42</f>
        <v>25</v>
      </c>
      <c r="N153" s="58">
        <f>'LCOE parameters'!$G$42</f>
        <v>25</v>
      </c>
      <c r="O153" s="58">
        <f>'LCOE parameters'!$G$42</f>
        <v>25</v>
      </c>
      <c r="P153" s="58">
        <f>'LCOE parameters'!$G$42</f>
        <v>25</v>
      </c>
      <c r="Q153" s="58">
        <f>'LCOE parameters'!$G$42</f>
        <v>25</v>
      </c>
      <c r="R153" s="58">
        <f>'LCOE parameters'!$G$42</f>
        <v>25</v>
      </c>
      <c r="S153" s="58">
        <f>'LCOE parameters'!$G$42</f>
        <v>25</v>
      </c>
      <c r="T153" s="58">
        <f>'LCOE parameters'!$G$42</f>
        <v>25</v>
      </c>
      <c r="U153" s="58">
        <f>'LCOE parameters'!$G$42</f>
        <v>25</v>
      </c>
      <c r="V153" s="58">
        <f>'LCOE parameters'!$G$42</f>
        <v>25</v>
      </c>
      <c r="W153" s="58">
        <f>'LCOE parameters'!$G$42</f>
        <v>25</v>
      </c>
      <c r="X153" s="58">
        <f>'LCOE parameters'!$G$42</f>
        <v>25</v>
      </c>
      <c r="Y153" s="58">
        <f>'LCOE parameters'!$G$42</f>
        <v>25</v>
      </c>
      <c r="Z153" s="58">
        <f>'LCOE parameters'!$G$42</f>
        <v>25</v>
      </c>
      <c r="AA153" s="58">
        <f>'LCOE parameters'!$G$42</f>
        <v>25</v>
      </c>
      <c r="AB153" s="58">
        <f>'LCOE parameters'!$G$42</f>
        <v>25</v>
      </c>
    </row>
    <row r="154" spans="1:28">
      <c r="A154" s="58" t="s">
        <v>160</v>
      </c>
      <c r="B154" s="58">
        <f>SUM(B140:B144,B146:B147,B149)/((1+B152)^B138)</f>
        <v>162174.94672857667</v>
      </c>
      <c r="C154" s="58">
        <f>SUM(C140:C144,C146:C148)/((1+C152)^C138)</f>
        <v>252465.95459628559</v>
      </c>
      <c r="D154" s="58">
        <f>SUM(D140:D144,D146:D148)/((1+D152)^D138)</f>
        <v>336529.24256951106</v>
      </c>
      <c r="E154" s="58">
        <f t="shared" ref="E154:W154" si="27">SUM(E140:E144,E146:E148)/((1+E152)^E138)</f>
        <v>317911.76900470565</v>
      </c>
      <c r="F154" s="58">
        <f t="shared" si="27"/>
        <v>300257.39562596002</v>
      </c>
      <c r="G154" s="58">
        <f t="shared" si="27"/>
        <v>283518.35435896611</v>
      </c>
      <c r="H154" s="58">
        <f t="shared" si="27"/>
        <v>267649.17885372258</v>
      </c>
      <c r="I154" s="58">
        <f t="shared" si="27"/>
        <v>252606.59588775574</v>
      </c>
      <c r="J154" s="58">
        <f t="shared" si="27"/>
        <v>238349.42181142417</v>
      </c>
      <c r="K154" s="58">
        <f t="shared" si="27"/>
        <v>224838.46380414467</v>
      </c>
      <c r="L154" s="58">
        <f t="shared" si="27"/>
        <v>212036.42572086907</v>
      </c>
      <c r="M154" s="58">
        <f t="shared" si="27"/>
        <v>199907.81831815641</v>
      </c>
      <c r="N154" s="58">
        <f t="shared" si="27"/>
        <v>188418.8736587571</v>
      </c>
      <c r="O154" s="58">
        <f t="shared" si="27"/>
        <v>177537.46350275716</v>
      </c>
      <c r="P154" s="58">
        <f t="shared" si="27"/>
        <v>167233.02150205988</v>
      </c>
      <c r="Q154" s="58">
        <f t="shared" si="27"/>
        <v>157476.46902331093</v>
      </c>
      <c r="R154" s="58">
        <f t="shared" si="27"/>
        <v>148240.14443233088</v>
      </c>
      <c r="S154" s="58">
        <f t="shared" si="27"/>
        <v>139497.73568071602</v>
      </c>
      <c r="T154" s="58">
        <f t="shared" si="27"/>
        <v>131224.21604252316</v>
      </c>
      <c r="U154" s="58">
        <f t="shared" si="27"/>
        <v>123395.78285588101</v>
      </c>
      <c r="V154" s="58">
        <f t="shared" si="27"/>
        <v>115989.79913098658</v>
      </c>
      <c r="W154" s="58">
        <f t="shared" si="27"/>
        <v>108984.73789225984</v>
      </c>
      <c r="X154" s="58">
        <f>SUM(X140:X144,X146:X148)/((1+X152)^X138)</f>
        <v>102360.12912846125</v>
      </c>
      <c r="Y154" s="58">
        <f>SUM(Y140:Y144,Y146:Y148)/((1+Y152)^Y138)</f>
        <v>96096.509230334676</v>
      </c>
      <c r="Z154" s="58">
        <f>SUM(Z140:Z144,Z146:Z148)/((1+Z152)^Z138)</f>
        <v>90175.372800836238</v>
      </c>
      <c r="AA154" s="58">
        <f>SUM(AA140:AA144,AA146:AA148)/((1+AA152)^AA138)</f>
        <v>84579.126728258852</v>
      </c>
      <c r="AB154" s="58">
        <f>SUM(AB140:AB144,AB146:AB148)/((1+AB152)^AB138)</f>
        <v>79291.046417574282</v>
      </c>
    </row>
    <row r="155" spans="1:28">
      <c r="A155" s="58" t="s">
        <v>159</v>
      </c>
      <c r="B155" s="58">
        <f>SUM(B140:B144,B146:B147)/((1+B152)^B138)</f>
        <v>68704.657234766462</v>
      </c>
      <c r="C155" s="58">
        <f>SUM(C140:C144,C146:C147)/((1+C152)^C138)</f>
        <v>134546.99999999997</v>
      </c>
      <c r="D155" s="58">
        <f>SUM(D140:D144,D146:D147)/((1+D152)^D138)</f>
        <v>336529.24256951106</v>
      </c>
      <c r="E155" s="58">
        <f t="shared" ref="E155:W155" si="28">SUM(E140:E144,E146:E147)/((1+E152)^E138)</f>
        <v>317911.76900470565</v>
      </c>
      <c r="F155" s="58">
        <f t="shared" si="28"/>
        <v>300257.39562596002</v>
      </c>
      <c r="G155" s="58">
        <f t="shared" si="28"/>
        <v>283518.35435896611</v>
      </c>
      <c r="H155" s="58">
        <f t="shared" si="28"/>
        <v>267649.17885372258</v>
      </c>
      <c r="I155" s="58">
        <f t="shared" si="28"/>
        <v>252606.59588775574</v>
      </c>
      <c r="J155" s="58">
        <f t="shared" si="28"/>
        <v>238349.42181142417</v>
      </c>
      <c r="K155" s="58">
        <f t="shared" si="28"/>
        <v>224838.46380414467</v>
      </c>
      <c r="L155" s="58">
        <f t="shared" si="28"/>
        <v>212036.42572086907</v>
      </c>
      <c r="M155" s="58">
        <f t="shared" si="28"/>
        <v>199907.81831815641</v>
      </c>
      <c r="N155" s="58">
        <f t="shared" si="28"/>
        <v>188418.8736587571</v>
      </c>
      <c r="O155" s="58">
        <f t="shared" si="28"/>
        <v>177537.46350275716</v>
      </c>
      <c r="P155" s="58">
        <f t="shared" si="28"/>
        <v>167233.02150205988</v>
      </c>
      <c r="Q155" s="58">
        <f t="shared" si="28"/>
        <v>157476.46902331093</v>
      </c>
      <c r="R155" s="58">
        <f t="shared" si="28"/>
        <v>148240.14443233088</v>
      </c>
      <c r="S155" s="58">
        <f t="shared" si="28"/>
        <v>139497.73568071602</v>
      </c>
      <c r="T155" s="58">
        <f t="shared" si="28"/>
        <v>131224.21604252316</v>
      </c>
      <c r="U155" s="58">
        <f t="shared" si="28"/>
        <v>123395.78285588101</v>
      </c>
      <c r="V155" s="58">
        <f t="shared" si="28"/>
        <v>115989.79913098658</v>
      </c>
      <c r="W155" s="58">
        <f t="shared" si="28"/>
        <v>108984.73789225984</v>
      </c>
      <c r="X155" s="58">
        <f>SUM(X140:X144,X146:X147)/((1+X152)^X138)</f>
        <v>102360.12912846125</v>
      </c>
      <c r="Y155" s="58">
        <f>SUM(Y140:Y144,Y146:Y147)/((1+Y152)^Y138)</f>
        <v>96096.509230334676</v>
      </c>
      <c r="Z155" s="58">
        <f>SUM(Z140:Z144,Z146:Z147)/((1+Z152)^Z138)</f>
        <v>90175.372800836238</v>
      </c>
      <c r="AA155" s="58">
        <f>SUM(AA140:AA144,AA146:AA147)/((1+AA152)^AA138)</f>
        <v>84579.126728258852</v>
      </c>
      <c r="AB155" s="58">
        <f>SUM(AB140:AB144,AB146:AB147)/((1+AB152)^AB138)</f>
        <v>79291.046417574282</v>
      </c>
    </row>
    <row r="156" spans="1:28">
      <c r="A156" s="58" t="s">
        <v>162</v>
      </c>
      <c r="B156" s="58">
        <f>SUM(B140:B147,B149)/((1+B152)^B138)</f>
        <v>162174.94672857667</v>
      </c>
      <c r="C156" s="58">
        <f>SUM(C140:C148)/((1+C152)^C138)</f>
        <v>252465.95459628559</v>
      </c>
      <c r="D156" s="58">
        <f>SUM(D140:D148)/((1+D152)^D138)</f>
        <v>336529.24256951106</v>
      </c>
      <c r="E156" s="58">
        <f t="shared" ref="E156:W156" si="29">SUM(E140:E148)/((1+E152)^E138)</f>
        <v>317911.76900470565</v>
      </c>
      <c r="F156" s="58">
        <f t="shared" si="29"/>
        <v>300257.39562596002</v>
      </c>
      <c r="G156" s="58">
        <f t="shared" si="29"/>
        <v>283518.35435896611</v>
      </c>
      <c r="H156" s="58">
        <f t="shared" si="29"/>
        <v>267649.17885372258</v>
      </c>
      <c r="I156" s="58">
        <f t="shared" si="29"/>
        <v>252606.59588775574</v>
      </c>
      <c r="J156" s="58">
        <f t="shared" si="29"/>
        <v>238349.42181142417</v>
      </c>
      <c r="K156" s="58">
        <f t="shared" si="29"/>
        <v>224838.46380414467</v>
      </c>
      <c r="L156" s="58">
        <f t="shared" si="29"/>
        <v>212036.42572086907</v>
      </c>
      <c r="M156" s="58">
        <f t="shared" si="29"/>
        <v>199907.81831815641</v>
      </c>
      <c r="N156" s="58">
        <f t="shared" si="29"/>
        <v>188418.8736587571</v>
      </c>
      <c r="O156" s="58">
        <f t="shared" si="29"/>
        <v>177537.46350275716</v>
      </c>
      <c r="P156" s="58">
        <f t="shared" si="29"/>
        <v>167233.02150205988</v>
      </c>
      <c r="Q156" s="58">
        <f t="shared" si="29"/>
        <v>157476.46902331093</v>
      </c>
      <c r="R156" s="58">
        <f t="shared" si="29"/>
        <v>148240.14443233088</v>
      </c>
      <c r="S156" s="58">
        <f t="shared" si="29"/>
        <v>139497.73568071602</v>
      </c>
      <c r="T156" s="58">
        <f t="shared" si="29"/>
        <v>131224.21604252316</v>
      </c>
      <c r="U156" s="58">
        <f t="shared" si="29"/>
        <v>123395.78285588101</v>
      </c>
      <c r="V156" s="58">
        <f t="shared" si="29"/>
        <v>115989.79913098658</v>
      </c>
      <c r="W156" s="58">
        <f t="shared" si="29"/>
        <v>108984.73789225984</v>
      </c>
      <c r="X156" s="58">
        <f>SUM(X140:X148)/((1+X152)^X138)</f>
        <v>102360.12912846125</v>
      </c>
      <c r="Y156" s="58">
        <f>SUM(Y140:Y148)/((1+Y152)^Y138)</f>
        <v>96096.509230334676</v>
      </c>
      <c r="Z156" s="58">
        <f>SUM(Z140:Z148)/((1+Z152)^Z138)</f>
        <v>90175.372800836238</v>
      </c>
      <c r="AA156" s="58">
        <f>SUM(AA140:AA148)/((1+AA152)^AA138)</f>
        <v>84579.126728258852</v>
      </c>
      <c r="AB156" s="58">
        <f>SUM(AB140:AB148)/((1+AB152)^AB138)</f>
        <v>79291.046417574282</v>
      </c>
    </row>
    <row r="157" spans="1:28">
      <c r="A157" s="58" t="s">
        <v>161</v>
      </c>
      <c r="B157" s="58">
        <f>SUM(B140:B147)/((1+B152)^B138)</f>
        <v>68704.657234766462</v>
      </c>
      <c r="C157" s="58">
        <f>SUM(C140:C147)/((1+C152)^C138)</f>
        <v>134546.99999999997</v>
      </c>
      <c r="D157" s="58">
        <f>SUM(D140:D147)/((1+D152)^D138)</f>
        <v>336529.24256951106</v>
      </c>
      <c r="E157" s="58">
        <f t="shared" ref="E157:W157" si="30">SUM(E140:E147)/((1+E152)^E138)</f>
        <v>317911.76900470565</v>
      </c>
      <c r="F157" s="58">
        <f t="shared" si="30"/>
        <v>300257.39562596002</v>
      </c>
      <c r="G157" s="58">
        <f t="shared" si="30"/>
        <v>283518.35435896611</v>
      </c>
      <c r="H157" s="58">
        <f t="shared" si="30"/>
        <v>267649.17885372258</v>
      </c>
      <c r="I157" s="58">
        <f t="shared" si="30"/>
        <v>252606.59588775574</v>
      </c>
      <c r="J157" s="58">
        <f t="shared" si="30"/>
        <v>238349.42181142417</v>
      </c>
      <c r="K157" s="58">
        <f t="shared" si="30"/>
        <v>224838.46380414467</v>
      </c>
      <c r="L157" s="58">
        <f t="shared" si="30"/>
        <v>212036.42572086907</v>
      </c>
      <c r="M157" s="58">
        <f t="shared" si="30"/>
        <v>199907.81831815641</v>
      </c>
      <c r="N157" s="58">
        <f t="shared" si="30"/>
        <v>188418.8736587571</v>
      </c>
      <c r="O157" s="58">
        <f t="shared" si="30"/>
        <v>177537.46350275716</v>
      </c>
      <c r="P157" s="58">
        <f t="shared" si="30"/>
        <v>167233.02150205988</v>
      </c>
      <c r="Q157" s="58">
        <f t="shared" si="30"/>
        <v>157476.46902331093</v>
      </c>
      <c r="R157" s="58">
        <f t="shared" si="30"/>
        <v>148240.14443233088</v>
      </c>
      <c r="S157" s="58">
        <f t="shared" si="30"/>
        <v>139497.73568071602</v>
      </c>
      <c r="T157" s="58">
        <f t="shared" si="30"/>
        <v>131224.21604252316</v>
      </c>
      <c r="U157" s="58">
        <f t="shared" si="30"/>
        <v>123395.78285588101</v>
      </c>
      <c r="V157" s="58">
        <f t="shared" si="30"/>
        <v>115989.79913098658</v>
      </c>
      <c r="W157" s="58">
        <f t="shared" si="30"/>
        <v>108984.73789225984</v>
      </c>
      <c r="X157" s="58">
        <f>SUM(X140:X147)/((1+X152)^X138)</f>
        <v>102360.12912846125</v>
      </c>
      <c r="Y157" s="58">
        <f>SUM(Y140:Y147)/((1+Y152)^Y138)</f>
        <v>96096.509230334676</v>
      </c>
      <c r="Z157" s="58">
        <f>SUM(Z140:Z147)/((1+Z152)^Z138)</f>
        <v>90175.372800836238</v>
      </c>
      <c r="AA157" s="58">
        <f>SUM(AA140:AA147)/((1+AA152)^AA138)</f>
        <v>84579.126728258852</v>
      </c>
      <c r="AB157" s="58">
        <f>SUM(AB140:AB147)/((1+AB152)^AB138)</f>
        <v>79291.046417574282</v>
      </c>
    </row>
    <row r="158" spans="1:28">
      <c r="A158" s="58" t="s">
        <v>163</v>
      </c>
      <c r="B158" s="58">
        <f>B150/((1+B152)^B138)</f>
        <v>0</v>
      </c>
      <c r="C158" s="58">
        <f>C150/((1+C152)^C138)</f>
        <v>0</v>
      </c>
      <c r="D158" s="58">
        <f>D150/((1+D152)^D138)</f>
        <v>12943.432406519656</v>
      </c>
      <c r="E158" s="58">
        <f t="shared" ref="E158:W158" si="31">E150/((1+E152)^E138)</f>
        <v>12409.810552751349</v>
      </c>
      <c r="F158" s="58">
        <f t="shared" si="31"/>
        <v>11898.18844942603</v>
      </c>
      <c r="G158" s="58">
        <f t="shared" si="31"/>
        <v>11407.659107791018</v>
      </c>
      <c r="H158" s="58">
        <f t="shared" si="31"/>
        <v>10937.352931726768</v>
      </c>
      <c r="I158" s="58">
        <f t="shared" si="31"/>
        <v>10486.436176152221</v>
      </c>
      <c r="J158" s="58">
        <f t="shared" si="31"/>
        <v>10054.109468985833</v>
      </c>
      <c r="K158" s="58">
        <f t="shared" si="31"/>
        <v>9639.6063940420263</v>
      </c>
      <c r="L158" s="58">
        <f t="shared" si="31"/>
        <v>9242.1921323509378</v>
      </c>
      <c r="M158" s="58">
        <f t="shared" si="31"/>
        <v>8861.1621594927492</v>
      </c>
      <c r="N158" s="58">
        <f t="shared" si="31"/>
        <v>8495.8409966373438</v>
      </c>
      <c r="O158" s="58">
        <f t="shared" si="31"/>
        <v>8145.5810130751142</v>
      </c>
      <c r="P158" s="58">
        <f t="shared" si="31"/>
        <v>7809.7612781161215</v>
      </c>
      <c r="Q158" s="58">
        <f t="shared" si="31"/>
        <v>7487.7864603222642</v>
      </c>
      <c r="R158" s="58">
        <f t="shared" si="31"/>
        <v>7179.0857721210605</v>
      </c>
      <c r="S158" s="58">
        <f t="shared" si="31"/>
        <v>6883.1119579300675</v>
      </c>
      <c r="T158" s="58">
        <f t="shared" si="31"/>
        <v>6599.3403239981471</v>
      </c>
      <c r="U158" s="58">
        <f t="shared" si="31"/>
        <v>6327.2678082436705</v>
      </c>
      <c r="V158" s="58">
        <f t="shared" si="31"/>
        <v>6066.4120884407203</v>
      </c>
      <c r="W158" s="58">
        <f t="shared" si="31"/>
        <v>5816.3107271723111</v>
      </c>
      <c r="X158" s="58">
        <f>X150/((1+X152)^X138)</f>
        <v>5576.5203520348141</v>
      </c>
      <c r="Y158" s="58">
        <f>Y150/((1+Y152)^Y138)</f>
        <v>5346.6158696402827</v>
      </c>
      <c r="Z158" s="58">
        <f>Z150/((1+Z152)^Z138)</f>
        <v>5126.1897120232825</v>
      </c>
      <c r="AA158" s="58">
        <f>AA150/((1+AA152)^AA138)</f>
        <v>4914.8511141162817</v>
      </c>
      <c r="AB158" s="58">
        <f>AB150/((1+AB152)^AB138)</f>
        <v>4712.2254210127348</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79"/>
  <sheetViews>
    <sheetView zoomScale="99" workbookViewId="0"/>
  </sheetViews>
  <sheetFormatPr baseColWidth="10" defaultRowHeight="16"/>
  <cols>
    <col min="1" max="1" width="47.33203125" style="1" bestFit="1" customWidth="1"/>
    <col min="2" max="2" width="22.33203125" bestFit="1" customWidth="1"/>
    <col min="3" max="3" width="21.5" bestFit="1" customWidth="1"/>
    <col min="4" max="5" width="21" bestFit="1" customWidth="1"/>
    <col min="6" max="14" width="17.6640625" bestFit="1" customWidth="1"/>
    <col min="15" max="22" width="13.5" bestFit="1" customWidth="1"/>
    <col min="23" max="32" width="12.6640625" bestFit="1" customWidth="1"/>
    <col min="33" max="33" width="15.33203125" bestFit="1" customWidth="1"/>
  </cols>
  <sheetData>
    <row r="1" spans="1:8" s="92" customFormat="1">
      <c r="A1" s="87"/>
    </row>
    <row r="2" spans="1:8" s="87" customFormat="1">
      <c r="B2" s="87" t="s">
        <v>228</v>
      </c>
      <c r="C2" s="86" t="s">
        <v>245</v>
      </c>
      <c r="D2" s="87" t="s">
        <v>258</v>
      </c>
      <c r="E2" s="87" t="s">
        <v>259</v>
      </c>
      <c r="F2" s="87" t="s">
        <v>260</v>
      </c>
      <c r="G2" s="87" t="s">
        <v>261</v>
      </c>
      <c r="H2" s="87" t="s">
        <v>254</v>
      </c>
    </row>
    <row r="3" spans="1:8" s="87" customFormat="1">
      <c r="A3" s="87" t="s">
        <v>243</v>
      </c>
      <c r="B3" s="94">
        <f>SUM(B63:X63)/SUM(B64:X64)</f>
        <v>320.64741589353525</v>
      </c>
      <c r="C3" s="85">
        <v>140.71539541947953</v>
      </c>
      <c r="D3" s="85">
        <v>50.183165384447591</v>
      </c>
      <c r="E3" s="85">
        <v>57.065905408014999</v>
      </c>
      <c r="F3" s="85">
        <v>50.864950741680346</v>
      </c>
      <c r="G3" s="85">
        <v>51.581271757529535</v>
      </c>
    </row>
    <row r="4" spans="1:8" s="87" customFormat="1">
      <c r="A4" s="87" t="s">
        <v>238</v>
      </c>
      <c r="B4" s="94">
        <f>B3*B39</f>
        <v>10688.247196451175</v>
      </c>
      <c r="C4" s="85">
        <v>4690.5131806493182</v>
      </c>
      <c r="D4" s="85">
        <v>1672.7721794815866</v>
      </c>
      <c r="E4" s="85">
        <v>1902.1968469338335</v>
      </c>
      <c r="F4" s="85">
        <v>1695.4983580560117</v>
      </c>
      <c r="G4" s="85">
        <v>1719.3757252509847</v>
      </c>
    </row>
    <row r="5" spans="1:8" s="87" customFormat="1">
      <c r="A5" s="87" t="s">
        <v>262</v>
      </c>
      <c r="B5" s="94"/>
      <c r="C5" s="85"/>
      <c r="H5" s="92">
        <f>SUM(B78:AG78)/SUM(B79:AG79)</f>
        <v>2.3617961980136619</v>
      </c>
    </row>
    <row r="6" spans="1:8" s="87" customFormat="1">
      <c r="B6" s="94"/>
      <c r="C6" s="85"/>
    </row>
    <row r="7" spans="1:8" s="87" customFormat="1">
      <c r="B7" s="95"/>
      <c r="C7" s="86"/>
    </row>
    <row r="8" spans="1:8" s="39" customFormat="1">
      <c r="B8" s="96"/>
      <c r="C8" s="97"/>
    </row>
    <row r="9" spans="1:8" s="36" customFormat="1">
      <c r="A9" s="39"/>
      <c r="B9" s="98" t="s">
        <v>228</v>
      </c>
      <c r="C9" s="97" t="s">
        <v>245</v>
      </c>
      <c r="D9" s="39" t="s">
        <v>258</v>
      </c>
      <c r="E9" s="39" t="s">
        <v>259</v>
      </c>
      <c r="F9" s="39" t="s">
        <v>260</v>
      </c>
      <c r="G9" s="39" t="s">
        <v>261</v>
      </c>
      <c r="H9" s="99" t="s">
        <v>248</v>
      </c>
    </row>
    <row r="10" spans="1:8" s="36" customFormat="1">
      <c r="A10" s="39" t="s">
        <v>227</v>
      </c>
    </row>
    <row r="11" spans="1:8" s="36" customFormat="1">
      <c r="A11" s="100" t="s">
        <v>246</v>
      </c>
      <c r="B11" s="101" t="s">
        <v>222</v>
      </c>
      <c r="C11" s="36" t="s">
        <v>221</v>
      </c>
      <c r="D11" s="36" t="s">
        <v>213</v>
      </c>
      <c r="E11" s="36" t="s">
        <v>212</v>
      </c>
      <c r="F11" s="36" t="s">
        <v>3</v>
      </c>
      <c r="G11" s="36" t="s">
        <v>4</v>
      </c>
      <c r="H11" s="101" t="s">
        <v>3</v>
      </c>
    </row>
    <row r="12" spans="1:8" s="36" customFormat="1">
      <c r="A12" s="100" t="s">
        <v>237</v>
      </c>
      <c r="B12" s="102">
        <f>IF(B11='Cost model'!B1,'Cost model'!B2,IF(B11='Cost model'!C1,'Cost model'!C2,IF(B11='Cost model'!D1,'Cost model'!D2,IF(B11='Cost model'!E1,'Cost model'!E2,IF(B11='Cost model'!F1,'Cost model'!F2,IF(B11='Cost model'!G1,'Cost model'!G2,0))))))</f>
        <v>199.95165079203099</v>
      </c>
      <c r="C12" s="102">
        <v>86</v>
      </c>
      <c r="E12" s="102"/>
      <c r="G12" s="102"/>
      <c r="H12" s="102">
        <f>IF(H11='Cost model'!B1,'Cost model'!B2,IF(H11='Cost model'!C1,'Cost model'!C2,IF(H11='Cost model'!D1,'Cost model'!D2,IF(H11='Cost model'!E1,'Cost model'!E2,IF(H11='Cost model'!F1,'Cost model'!F2,IF(H11='Cost model'!G1,'Cost model'!G2,0))))))</f>
        <v>22.756811281393375</v>
      </c>
    </row>
    <row r="13" spans="1:8" s="36" customFormat="1">
      <c r="A13" s="103" t="s">
        <v>264</v>
      </c>
      <c r="B13" s="102"/>
      <c r="C13" s="102"/>
      <c r="E13" s="102"/>
      <c r="G13" s="102"/>
      <c r="H13" s="38">
        <v>0.25</v>
      </c>
    </row>
    <row r="14" spans="1:8" s="36" customFormat="1">
      <c r="A14" s="103" t="s">
        <v>252</v>
      </c>
      <c r="B14" s="102"/>
      <c r="C14" s="102"/>
      <c r="E14" s="102"/>
      <c r="G14" s="102"/>
      <c r="H14" s="104">
        <f>$B$17*$B$18*$B$20*$B$39*H13</f>
        <v>114617250.00000001</v>
      </c>
    </row>
    <row r="15" spans="1:8" s="36" customFormat="1">
      <c r="A15" s="39"/>
      <c r="F15" s="102"/>
      <c r="G15" s="102"/>
    </row>
    <row r="16" spans="1:8" s="36" customFormat="1">
      <c r="A16" s="35" t="s">
        <v>9</v>
      </c>
      <c r="B16" s="102"/>
      <c r="F16" s="102"/>
      <c r="G16" s="102"/>
      <c r="H16" s="102"/>
    </row>
    <row r="17" spans="1:14" s="36" customFormat="1">
      <c r="A17" s="37" t="s">
        <v>21</v>
      </c>
      <c r="B17" s="105">
        <v>4500</v>
      </c>
      <c r="C17" s="104">
        <v>9000</v>
      </c>
      <c r="F17" s="102"/>
      <c r="G17" s="102"/>
      <c r="H17" s="102"/>
    </row>
    <row r="18" spans="1:14" s="36" customFormat="1">
      <c r="A18" s="37" t="s">
        <v>123</v>
      </c>
      <c r="B18" s="105">
        <v>4631</v>
      </c>
      <c r="C18" s="105">
        <v>8000</v>
      </c>
      <c r="F18" s="106"/>
      <c r="G18" s="106"/>
      <c r="H18" s="106"/>
      <c r="K18" s="36">
        <v>4500</v>
      </c>
    </row>
    <row r="19" spans="1:14" s="36" customFormat="1">
      <c r="A19" s="107" t="s">
        <v>233</v>
      </c>
      <c r="B19" s="106">
        <v>39.409999999999997</v>
      </c>
      <c r="F19" s="106"/>
      <c r="G19" s="106"/>
      <c r="H19" s="106"/>
      <c r="K19" s="36">
        <v>5500</v>
      </c>
    </row>
    <row r="20" spans="1:14" s="36" customFormat="1">
      <c r="A20" s="107" t="s">
        <v>240</v>
      </c>
      <c r="B20" s="106">
        <v>0.66</v>
      </c>
      <c r="F20" s="106"/>
      <c r="G20" s="106"/>
      <c r="H20" s="106"/>
    </row>
    <row r="21" spans="1:14" s="36" customFormat="1">
      <c r="A21" s="108" t="s">
        <v>251</v>
      </c>
      <c r="F21" s="106"/>
      <c r="G21" s="106"/>
      <c r="H21" s="106">
        <v>0.1</v>
      </c>
    </row>
    <row r="22" spans="1:14" s="36" customFormat="1">
      <c r="A22" s="37"/>
      <c r="B22" s="102"/>
      <c r="F22" s="102"/>
      <c r="G22" s="102"/>
      <c r="H22" s="102"/>
    </row>
    <row r="23" spans="1:14" s="36" customFormat="1">
      <c r="A23" s="35" t="s">
        <v>14</v>
      </c>
      <c r="N23" s="105"/>
    </row>
    <row r="24" spans="1:14" s="36" customFormat="1">
      <c r="A24" s="37" t="s">
        <v>234</v>
      </c>
      <c r="B24" s="105">
        <v>120000</v>
      </c>
      <c r="N24" s="105"/>
    </row>
    <row r="25" spans="1:14" s="36" customFormat="1">
      <c r="A25" s="37" t="s">
        <v>235</v>
      </c>
      <c r="B25" s="105">
        <v>120000</v>
      </c>
      <c r="N25" s="105"/>
    </row>
    <row r="26" spans="1:14" s="36" customFormat="1">
      <c r="A26" s="37" t="s">
        <v>236</v>
      </c>
      <c r="B26" s="105">
        <f>SUM(B24:B25)</f>
        <v>240000</v>
      </c>
      <c r="N26" s="105"/>
    </row>
    <row r="27" spans="1:14" s="36" customFormat="1">
      <c r="A27" s="37" t="s">
        <v>166</v>
      </c>
      <c r="B27" s="109">
        <v>0.06</v>
      </c>
      <c r="H27" s="100">
        <v>0.06</v>
      </c>
      <c r="N27" s="105"/>
    </row>
    <row r="28" spans="1:14" s="36" customFormat="1">
      <c r="A28" s="37" t="s">
        <v>231</v>
      </c>
      <c r="B28" s="105">
        <f>B12</f>
        <v>199.95165079203099</v>
      </c>
      <c r="H28" s="102">
        <f>H12</f>
        <v>22.756811281393375</v>
      </c>
      <c r="N28" s="105"/>
    </row>
    <row r="29" spans="1:14" s="36" customFormat="1">
      <c r="A29" s="37" t="s">
        <v>193</v>
      </c>
      <c r="B29" s="105">
        <f>0.03*B26</f>
        <v>7200</v>
      </c>
      <c r="N29" s="105"/>
    </row>
    <row r="30" spans="1:14" s="36" customFormat="1">
      <c r="A30" s="37" t="s">
        <v>270</v>
      </c>
      <c r="B30" s="105">
        <v>73500</v>
      </c>
      <c r="N30" s="105"/>
    </row>
    <row r="31" spans="1:14" s="36" customFormat="1">
      <c r="A31" s="37" t="s">
        <v>198</v>
      </c>
      <c r="B31" s="105">
        <f>0.03*B26</f>
        <v>7200</v>
      </c>
      <c r="N31" s="105"/>
    </row>
    <row r="32" spans="1:14" s="36" customFormat="1">
      <c r="A32" s="108" t="s">
        <v>249</v>
      </c>
      <c r="H32" s="105">
        <f>81000000*((H41/500000)^0.28)</f>
        <v>56713867.94778759</v>
      </c>
      <c r="N32" s="105"/>
    </row>
    <row r="33" spans="1:14" s="36" customFormat="1">
      <c r="A33" s="108" t="s">
        <v>256</v>
      </c>
      <c r="B33" s="105"/>
      <c r="H33" s="110">
        <f>0.015*H32</f>
        <v>850708.01921681385</v>
      </c>
      <c r="N33" s="105"/>
    </row>
    <row r="34" spans="1:14" s="36" customFormat="1">
      <c r="A34" s="39"/>
      <c r="N34" s="105"/>
    </row>
    <row r="35" spans="1:14" s="36" customFormat="1">
      <c r="A35" s="35" t="s">
        <v>16</v>
      </c>
      <c r="N35" s="111"/>
    </row>
    <row r="36" spans="1:14" s="36" customFormat="1">
      <c r="A36" s="37" t="s">
        <v>36</v>
      </c>
      <c r="B36" s="36">
        <v>2.5</v>
      </c>
      <c r="H36" s="36">
        <v>2</v>
      </c>
      <c r="N36" s="111"/>
    </row>
    <row r="37" spans="1:14" s="36" customFormat="1">
      <c r="A37" s="37" t="s">
        <v>37</v>
      </c>
      <c r="B37" s="36">
        <v>20</v>
      </c>
      <c r="H37" s="36">
        <v>30</v>
      </c>
      <c r="N37" s="111"/>
    </row>
    <row r="38" spans="1:14" s="36" customFormat="1">
      <c r="A38" s="37" t="s">
        <v>232</v>
      </c>
      <c r="B38" s="36">
        <v>10</v>
      </c>
      <c r="N38" s="105"/>
    </row>
    <row r="39" spans="1:14" s="36" customFormat="1">
      <c r="A39" s="37" t="s">
        <v>239</v>
      </c>
      <c r="B39" s="106">
        <f>120/3.6</f>
        <v>33.333333333333336</v>
      </c>
      <c r="N39" s="105"/>
    </row>
    <row r="40" spans="1:14" s="36" customFormat="1">
      <c r="A40" s="100" t="s">
        <v>241</v>
      </c>
      <c r="B40" s="36">
        <v>39.4</v>
      </c>
      <c r="N40" s="105"/>
    </row>
    <row r="41" spans="1:14" s="36" customFormat="1">
      <c r="A41" s="103" t="s">
        <v>250</v>
      </c>
      <c r="H41" s="105">
        <v>140000</v>
      </c>
      <c r="N41" s="105"/>
    </row>
    <row r="42" spans="1:14" s="36" customFormat="1">
      <c r="A42" s="103" t="s">
        <v>265</v>
      </c>
      <c r="H42" s="105">
        <v>8</v>
      </c>
      <c r="N42" s="105"/>
    </row>
    <row r="43" spans="1:14" s="36" customFormat="1">
      <c r="A43" s="103" t="s">
        <v>253</v>
      </c>
      <c r="H43" s="105">
        <f>PRODUCT(H41:H42)</f>
        <v>1120000</v>
      </c>
      <c r="N43" s="105"/>
    </row>
    <row r="44" spans="1:14" s="36" customFormat="1">
      <c r="A44" s="39"/>
      <c r="N44" s="105"/>
    </row>
    <row r="45" spans="1:14">
      <c r="N45" s="58"/>
    </row>
    <row r="46" spans="1:14">
      <c r="E46" s="6">
        <f>1117043.1211499/8</f>
        <v>139630.39014373749</v>
      </c>
      <c r="N46" s="58"/>
    </row>
    <row r="47" spans="1:14">
      <c r="N47" s="58"/>
    </row>
    <row r="48" spans="1:14">
      <c r="A48" s="1" t="s">
        <v>266</v>
      </c>
    </row>
    <row r="50" spans="1:24">
      <c r="A50" s="1" t="s">
        <v>229</v>
      </c>
    </row>
    <row r="51" spans="1:24">
      <c r="B51" s="1" t="s">
        <v>168</v>
      </c>
      <c r="E51" s="1" t="s">
        <v>169</v>
      </c>
    </row>
    <row r="52" spans="1:24">
      <c r="A52" s="58" t="s">
        <v>171</v>
      </c>
      <c r="B52" s="58">
        <v>-2.5</v>
      </c>
      <c r="C52" s="58">
        <v>-2</v>
      </c>
      <c r="D52" s="58">
        <v>-1</v>
      </c>
      <c r="E52" s="58">
        <v>1</v>
      </c>
      <c r="F52" s="58">
        <v>2</v>
      </c>
      <c r="G52" s="58">
        <v>3</v>
      </c>
      <c r="H52" s="58">
        <v>4</v>
      </c>
      <c r="I52" s="58">
        <v>5</v>
      </c>
      <c r="J52" s="58">
        <v>6</v>
      </c>
      <c r="K52" s="58">
        <v>7</v>
      </c>
      <c r="L52" s="58">
        <v>8</v>
      </c>
      <c r="M52" s="58">
        <v>9</v>
      </c>
      <c r="N52" s="58">
        <v>10</v>
      </c>
      <c r="O52" s="58">
        <v>11</v>
      </c>
      <c r="P52" s="58">
        <v>12</v>
      </c>
      <c r="Q52" s="58">
        <v>13</v>
      </c>
      <c r="R52" s="58">
        <v>14</v>
      </c>
      <c r="S52" s="58">
        <v>15</v>
      </c>
      <c r="T52" s="58">
        <v>16</v>
      </c>
      <c r="U52" s="58">
        <v>17</v>
      </c>
      <c r="V52" s="58">
        <v>18</v>
      </c>
      <c r="W52" s="58">
        <v>19</v>
      </c>
      <c r="X52" s="58">
        <v>20</v>
      </c>
    </row>
    <row r="53" spans="1:24">
      <c r="A53" s="58" t="s">
        <v>263</v>
      </c>
      <c r="B53">
        <f>($B$26*$B$17)*(0.5/$B$36)</f>
        <v>216000000</v>
      </c>
      <c r="C53">
        <f>($B$26*$B$17)*(1/$B$36)</f>
        <v>432000000</v>
      </c>
      <c r="D53">
        <f>($B$26*$B$17)*(1/$B$36)</f>
        <v>432000000</v>
      </c>
    </row>
    <row r="54" spans="1:24">
      <c r="A54" s="58" t="s">
        <v>170</v>
      </c>
      <c r="E54">
        <f t="shared" ref="E54:X54" si="0">($B$26*$B$17)/$B$37</f>
        <v>54000000</v>
      </c>
      <c r="F54">
        <f t="shared" si="0"/>
        <v>54000000</v>
      </c>
      <c r="G54">
        <f t="shared" si="0"/>
        <v>54000000</v>
      </c>
      <c r="H54">
        <f t="shared" si="0"/>
        <v>54000000</v>
      </c>
      <c r="I54">
        <f t="shared" si="0"/>
        <v>54000000</v>
      </c>
      <c r="J54">
        <f t="shared" si="0"/>
        <v>54000000</v>
      </c>
      <c r="K54">
        <f t="shared" si="0"/>
        <v>54000000</v>
      </c>
      <c r="L54">
        <f t="shared" si="0"/>
        <v>54000000</v>
      </c>
      <c r="M54">
        <f t="shared" si="0"/>
        <v>54000000</v>
      </c>
      <c r="N54">
        <f t="shared" si="0"/>
        <v>54000000</v>
      </c>
      <c r="O54">
        <f t="shared" si="0"/>
        <v>54000000</v>
      </c>
      <c r="P54">
        <f t="shared" si="0"/>
        <v>54000000</v>
      </c>
      <c r="Q54">
        <f t="shared" si="0"/>
        <v>54000000</v>
      </c>
      <c r="R54">
        <f t="shared" si="0"/>
        <v>54000000</v>
      </c>
      <c r="S54">
        <f t="shared" si="0"/>
        <v>54000000</v>
      </c>
      <c r="T54">
        <f t="shared" si="0"/>
        <v>54000000</v>
      </c>
      <c r="U54">
        <f t="shared" si="0"/>
        <v>54000000</v>
      </c>
      <c r="V54">
        <f t="shared" si="0"/>
        <v>54000000</v>
      </c>
      <c r="W54">
        <f t="shared" si="0"/>
        <v>54000000</v>
      </c>
      <c r="X54">
        <f t="shared" si="0"/>
        <v>54000000</v>
      </c>
    </row>
    <row r="55" spans="1:24">
      <c r="A55" s="58" t="s">
        <v>190</v>
      </c>
      <c r="B55" s="82">
        <f>SUM(B53)*$B$27</f>
        <v>12960000</v>
      </c>
      <c r="C55">
        <f>SUM(B53:C53)*$B$27</f>
        <v>38880000</v>
      </c>
      <c r="D55" s="82">
        <f>SUM(B53:D53)*$B$27</f>
        <v>64800000</v>
      </c>
      <c r="E55" s="82">
        <f>SUM($B$53:$D$53)*$B$27</f>
        <v>64800000</v>
      </c>
      <c r="F55">
        <f>SUM($B$53:$D$53,-SUM($E$54))*$B$27</f>
        <v>61560000</v>
      </c>
      <c r="G55">
        <f>SUM($B$53:$D$53,-SUM($E$54:F54))*$B$27</f>
        <v>58320000</v>
      </c>
      <c r="H55">
        <f>SUM($B$53:$D$53,-SUM($E$54:G54))*$B$27</f>
        <v>55080000</v>
      </c>
      <c r="I55">
        <f>SUM($B$53:$D$53,-SUM($E$54:H54))*$B$27</f>
        <v>51840000</v>
      </c>
      <c r="J55">
        <f>SUM($B$53:$D$53,-SUM($E$54:I54))*$B$27</f>
        <v>48600000</v>
      </c>
      <c r="K55">
        <f>SUM($B$53:$D$53,-SUM($E$54:J54))*$B$27</f>
        <v>45360000</v>
      </c>
      <c r="L55">
        <f>SUM($B$53:$D$53,-SUM($E$54:K54))*$B$27</f>
        <v>42120000</v>
      </c>
      <c r="M55">
        <f>SUM($B$53:$D$53,-SUM($E$54:L54))*$B$27</f>
        <v>38880000</v>
      </c>
      <c r="N55">
        <f>SUM($B$53:$D$53,-SUM($E$54:M54))*$B$27</f>
        <v>35640000</v>
      </c>
      <c r="O55">
        <f>SUM($B$53:$D$53,-SUM($E$54:N54))*$B$27</f>
        <v>32400000</v>
      </c>
      <c r="P55">
        <f>SUM($B$53:$D$53,-SUM($E$54:O54))*$B$27</f>
        <v>29160000</v>
      </c>
      <c r="Q55">
        <f>SUM($B$53:$D$53,-SUM($E$54:P54))*$B$27</f>
        <v>25920000</v>
      </c>
      <c r="R55">
        <f>SUM($B$53:$D$53,-SUM($E$54:Q54))*$B$27</f>
        <v>22680000</v>
      </c>
      <c r="S55">
        <f>SUM($B$53:$D$53,-SUM($E$54:R54))*$B$27</f>
        <v>19440000</v>
      </c>
      <c r="T55">
        <f>SUM($B$53:$D$53,-SUM($E$54:S54))*$B$27</f>
        <v>16200000</v>
      </c>
      <c r="U55">
        <f>SUM($B$53:$D$53,-SUM($E$54:T54))*$B$27</f>
        <v>12960000</v>
      </c>
      <c r="V55">
        <f>SUM($B$53:$D$53,-SUM($E$54:U54))*$B$27</f>
        <v>9720000</v>
      </c>
      <c r="W55">
        <f>SUM($B$53:$D$53,-SUM($E$54:V54))*$B$27</f>
        <v>6480000</v>
      </c>
      <c r="X55">
        <f>SUM($B$53:$D$53,-SUM($E$54:W54))*$B$27</f>
        <v>3240000</v>
      </c>
    </row>
    <row r="56" spans="1:24">
      <c r="A56" s="58" t="s">
        <v>230</v>
      </c>
      <c r="E56">
        <f t="shared" ref="E56:X56" si="1">$B$17*$B$18*$B$28</f>
        <v>4166892426.6805296</v>
      </c>
      <c r="F56">
        <f t="shared" si="1"/>
        <v>4166892426.6805296</v>
      </c>
      <c r="G56">
        <f t="shared" si="1"/>
        <v>4166892426.6805296</v>
      </c>
      <c r="H56">
        <f t="shared" si="1"/>
        <v>4166892426.6805296</v>
      </c>
      <c r="I56">
        <f t="shared" si="1"/>
        <v>4166892426.6805296</v>
      </c>
      <c r="J56">
        <f t="shared" si="1"/>
        <v>4166892426.6805296</v>
      </c>
      <c r="K56">
        <f t="shared" si="1"/>
        <v>4166892426.6805296</v>
      </c>
      <c r="L56">
        <f t="shared" si="1"/>
        <v>4166892426.6805296</v>
      </c>
      <c r="M56">
        <f t="shared" si="1"/>
        <v>4166892426.6805296</v>
      </c>
      <c r="N56">
        <f t="shared" si="1"/>
        <v>4166892426.6805296</v>
      </c>
      <c r="O56">
        <f t="shared" si="1"/>
        <v>4166892426.6805296</v>
      </c>
      <c r="P56">
        <f t="shared" si="1"/>
        <v>4166892426.6805296</v>
      </c>
      <c r="Q56">
        <f t="shared" si="1"/>
        <v>4166892426.6805296</v>
      </c>
      <c r="R56">
        <f t="shared" si="1"/>
        <v>4166892426.6805296</v>
      </c>
      <c r="S56">
        <f t="shared" si="1"/>
        <v>4166892426.6805296</v>
      </c>
      <c r="T56">
        <f t="shared" si="1"/>
        <v>4166892426.6805296</v>
      </c>
      <c r="U56">
        <f t="shared" si="1"/>
        <v>4166892426.6805296</v>
      </c>
      <c r="V56">
        <f t="shared" si="1"/>
        <v>4166892426.6805296</v>
      </c>
      <c r="W56">
        <f t="shared" si="1"/>
        <v>4166892426.6805296</v>
      </c>
      <c r="X56">
        <f t="shared" si="1"/>
        <v>4166892426.6805296</v>
      </c>
    </row>
    <row r="57" spans="1:24">
      <c r="A57" s="58" t="s">
        <v>191</v>
      </c>
      <c r="E57">
        <f t="shared" ref="E57:X57" si="2">$B$29*$B$17</f>
        <v>32400000</v>
      </c>
      <c r="F57">
        <f t="shared" si="2"/>
        <v>32400000</v>
      </c>
      <c r="G57">
        <f t="shared" si="2"/>
        <v>32400000</v>
      </c>
      <c r="H57">
        <f t="shared" si="2"/>
        <v>32400000</v>
      </c>
      <c r="I57">
        <f t="shared" si="2"/>
        <v>32400000</v>
      </c>
      <c r="J57">
        <f t="shared" si="2"/>
        <v>32400000</v>
      </c>
      <c r="K57">
        <f t="shared" si="2"/>
        <v>32400000</v>
      </c>
      <c r="L57">
        <f t="shared" si="2"/>
        <v>32400000</v>
      </c>
      <c r="M57">
        <f t="shared" si="2"/>
        <v>32400000</v>
      </c>
      <c r="N57">
        <f t="shared" si="2"/>
        <v>32400000</v>
      </c>
      <c r="O57">
        <f t="shared" si="2"/>
        <v>32400000</v>
      </c>
      <c r="P57">
        <f t="shared" si="2"/>
        <v>32400000</v>
      </c>
      <c r="Q57">
        <f t="shared" si="2"/>
        <v>32400000</v>
      </c>
      <c r="R57">
        <f t="shared" si="2"/>
        <v>32400000</v>
      </c>
      <c r="S57">
        <f t="shared" si="2"/>
        <v>32400000</v>
      </c>
      <c r="T57">
        <f t="shared" si="2"/>
        <v>32400000</v>
      </c>
      <c r="U57">
        <f t="shared" si="2"/>
        <v>32400000</v>
      </c>
      <c r="V57">
        <f t="shared" si="2"/>
        <v>32400000</v>
      </c>
      <c r="W57">
        <f t="shared" si="2"/>
        <v>32400000</v>
      </c>
      <c r="X57">
        <f t="shared" si="2"/>
        <v>32400000</v>
      </c>
    </row>
    <row r="58" spans="1:24">
      <c r="A58" s="5" t="s">
        <v>244</v>
      </c>
      <c r="E58">
        <f>IF(E52=($B$38+1),$B$30,IF(E52=2*($B$38+1),$B$30,IF(E52=3*($B$38+1),$B$30,IF(E52=4*($B$38+1),$B$30,IF(E52=5*($B$38+1),$B$30,0)))))</f>
        <v>0</v>
      </c>
      <c r="F58">
        <f t="shared" ref="F58:X58" si="3">IF(F52=($B$38+1),$B$30,IF(F52=2*($B$38+1),$B$30,IF(F52=3*($B$38+1),$B$30,IF(F52=4*($B$38+1),$B$30,IF(F52=5*($B$38+1),$B$30,0)))))</f>
        <v>0</v>
      </c>
      <c r="G58">
        <f t="shared" si="3"/>
        <v>0</v>
      </c>
      <c r="H58">
        <f t="shared" si="3"/>
        <v>0</v>
      </c>
      <c r="I58">
        <f t="shared" si="3"/>
        <v>0</v>
      </c>
      <c r="J58">
        <f t="shared" si="3"/>
        <v>0</v>
      </c>
      <c r="K58">
        <f t="shared" si="3"/>
        <v>0</v>
      </c>
      <c r="L58">
        <f t="shared" si="3"/>
        <v>0</v>
      </c>
      <c r="M58">
        <f t="shared" si="3"/>
        <v>0</v>
      </c>
      <c r="N58">
        <f t="shared" si="3"/>
        <v>0</v>
      </c>
      <c r="O58">
        <f t="shared" si="3"/>
        <v>73500</v>
      </c>
      <c r="P58">
        <f t="shared" si="3"/>
        <v>0</v>
      </c>
      <c r="Q58">
        <f t="shared" si="3"/>
        <v>0</v>
      </c>
      <c r="R58">
        <f t="shared" si="3"/>
        <v>0</v>
      </c>
      <c r="S58">
        <f t="shared" si="3"/>
        <v>0</v>
      </c>
      <c r="T58">
        <f t="shared" si="3"/>
        <v>0</v>
      </c>
      <c r="U58">
        <f t="shared" si="3"/>
        <v>0</v>
      </c>
      <c r="V58">
        <f t="shared" si="3"/>
        <v>0</v>
      </c>
      <c r="W58">
        <f t="shared" si="3"/>
        <v>0</v>
      </c>
      <c r="X58">
        <f t="shared" si="3"/>
        <v>0</v>
      </c>
    </row>
    <row r="59" spans="1:24">
      <c r="A59" s="61" t="s">
        <v>197</v>
      </c>
      <c r="E59">
        <f t="shared" ref="E59:X59" si="4">($B$31*$B$17)/$B$37</f>
        <v>1620000</v>
      </c>
      <c r="F59">
        <f t="shared" si="4"/>
        <v>1620000</v>
      </c>
      <c r="G59">
        <f t="shared" si="4"/>
        <v>1620000</v>
      </c>
      <c r="H59">
        <f t="shared" si="4"/>
        <v>1620000</v>
      </c>
      <c r="I59">
        <f t="shared" si="4"/>
        <v>1620000</v>
      </c>
      <c r="J59">
        <f t="shared" si="4"/>
        <v>1620000</v>
      </c>
      <c r="K59">
        <f t="shared" si="4"/>
        <v>1620000</v>
      </c>
      <c r="L59">
        <f t="shared" si="4"/>
        <v>1620000</v>
      </c>
      <c r="M59">
        <f t="shared" si="4"/>
        <v>1620000</v>
      </c>
      <c r="N59">
        <f t="shared" si="4"/>
        <v>1620000</v>
      </c>
      <c r="O59">
        <f t="shared" si="4"/>
        <v>1620000</v>
      </c>
      <c r="P59">
        <f t="shared" si="4"/>
        <v>1620000</v>
      </c>
      <c r="Q59">
        <f t="shared" si="4"/>
        <v>1620000</v>
      </c>
      <c r="R59">
        <f t="shared" si="4"/>
        <v>1620000</v>
      </c>
      <c r="S59">
        <f t="shared" si="4"/>
        <v>1620000</v>
      </c>
      <c r="T59">
        <f t="shared" si="4"/>
        <v>1620000</v>
      </c>
      <c r="U59">
        <f t="shared" si="4"/>
        <v>1620000</v>
      </c>
      <c r="V59">
        <f t="shared" si="4"/>
        <v>1620000</v>
      </c>
      <c r="W59">
        <f t="shared" si="4"/>
        <v>1620000</v>
      </c>
      <c r="X59">
        <f t="shared" si="4"/>
        <v>1620000</v>
      </c>
    </row>
    <row r="60" spans="1:24">
      <c r="A60" s="58" t="s">
        <v>247</v>
      </c>
      <c r="E60" s="6">
        <f>$B$17*$B$18*$B$20</f>
        <v>13754070</v>
      </c>
      <c r="F60" s="6">
        <f t="shared" ref="F60:X60" si="5">$B$17*$B$18*$B$20</f>
        <v>13754070</v>
      </c>
      <c r="G60" s="6">
        <f t="shared" si="5"/>
        <v>13754070</v>
      </c>
      <c r="H60" s="6">
        <f t="shared" si="5"/>
        <v>13754070</v>
      </c>
      <c r="I60" s="6">
        <f t="shared" si="5"/>
        <v>13754070</v>
      </c>
      <c r="J60" s="6">
        <f t="shared" si="5"/>
        <v>13754070</v>
      </c>
      <c r="K60" s="6">
        <f t="shared" si="5"/>
        <v>13754070</v>
      </c>
      <c r="L60" s="6">
        <f t="shared" si="5"/>
        <v>13754070</v>
      </c>
      <c r="M60" s="6">
        <f t="shared" si="5"/>
        <v>13754070</v>
      </c>
      <c r="N60" s="6">
        <f t="shared" si="5"/>
        <v>13754070</v>
      </c>
      <c r="O60" s="6">
        <f t="shared" si="5"/>
        <v>13754070</v>
      </c>
      <c r="P60" s="6">
        <f t="shared" si="5"/>
        <v>13754070</v>
      </c>
      <c r="Q60" s="6">
        <f t="shared" si="5"/>
        <v>13754070</v>
      </c>
      <c r="R60" s="6">
        <f t="shared" si="5"/>
        <v>13754070</v>
      </c>
      <c r="S60" s="6">
        <f t="shared" si="5"/>
        <v>13754070</v>
      </c>
      <c r="T60" s="6">
        <f t="shared" si="5"/>
        <v>13754070</v>
      </c>
      <c r="U60" s="6">
        <f t="shared" si="5"/>
        <v>13754070</v>
      </c>
      <c r="V60" s="6">
        <f t="shared" si="5"/>
        <v>13754070</v>
      </c>
      <c r="W60" s="6">
        <f t="shared" si="5"/>
        <v>13754070</v>
      </c>
      <c r="X60" s="6">
        <f t="shared" si="5"/>
        <v>13754070</v>
      </c>
    </row>
    <row r="61" spans="1:24">
      <c r="A61" s="58" t="s">
        <v>166</v>
      </c>
      <c r="B61">
        <f>$B$27</f>
        <v>0.06</v>
      </c>
      <c r="C61">
        <f t="shared" ref="C61:X61" si="6">$B$27</f>
        <v>0.06</v>
      </c>
      <c r="D61">
        <f t="shared" si="6"/>
        <v>0.06</v>
      </c>
      <c r="E61">
        <f t="shared" si="6"/>
        <v>0.06</v>
      </c>
      <c r="F61">
        <f t="shared" si="6"/>
        <v>0.06</v>
      </c>
      <c r="G61">
        <f t="shared" si="6"/>
        <v>0.06</v>
      </c>
      <c r="H61">
        <f t="shared" si="6"/>
        <v>0.06</v>
      </c>
      <c r="I61">
        <f t="shared" si="6"/>
        <v>0.06</v>
      </c>
      <c r="J61">
        <f t="shared" si="6"/>
        <v>0.06</v>
      </c>
      <c r="K61">
        <f t="shared" si="6"/>
        <v>0.06</v>
      </c>
      <c r="L61">
        <f t="shared" si="6"/>
        <v>0.06</v>
      </c>
      <c r="M61">
        <f t="shared" si="6"/>
        <v>0.06</v>
      </c>
      <c r="N61">
        <f t="shared" si="6"/>
        <v>0.06</v>
      </c>
      <c r="O61">
        <f t="shared" si="6"/>
        <v>0.06</v>
      </c>
      <c r="P61">
        <f t="shared" si="6"/>
        <v>0.06</v>
      </c>
      <c r="Q61">
        <f t="shared" si="6"/>
        <v>0.06</v>
      </c>
      <c r="R61">
        <f t="shared" si="6"/>
        <v>0.06</v>
      </c>
      <c r="S61">
        <f t="shared" si="6"/>
        <v>0.06</v>
      </c>
      <c r="T61">
        <f t="shared" si="6"/>
        <v>0.06</v>
      </c>
      <c r="U61">
        <f t="shared" si="6"/>
        <v>0.06</v>
      </c>
      <c r="V61">
        <f t="shared" si="6"/>
        <v>0.06</v>
      </c>
      <c r="W61">
        <f t="shared" si="6"/>
        <v>0.06</v>
      </c>
      <c r="X61">
        <f t="shared" si="6"/>
        <v>0.06</v>
      </c>
    </row>
    <row r="62" spans="1:24">
      <c r="A62" s="58" t="s">
        <v>151</v>
      </c>
      <c r="B62">
        <f>$B$37</f>
        <v>20</v>
      </c>
      <c r="C62">
        <f t="shared" ref="C62:X62" si="7">$B$37</f>
        <v>20</v>
      </c>
      <c r="D62">
        <f t="shared" si="7"/>
        <v>20</v>
      </c>
      <c r="E62">
        <f t="shared" si="7"/>
        <v>20</v>
      </c>
      <c r="F62">
        <f t="shared" si="7"/>
        <v>20</v>
      </c>
      <c r="G62">
        <f t="shared" si="7"/>
        <v>20</v>
      </c>
      <c r="H62">
        <f t="shared" si="7"/>
        <v>20</v>
      </c>
      <c r="I62">
        <f t="shared" si="7"/>
        <v>20</v>
      </c>
      <c r="J62">
        <f t="shared" si="7"/>
        <v>20</v>
      </c>
      <c r="K62">
        <f t="shared" si="7"/>
        <v>20</v>
      </c>
      <c r="L62">
        <f t="shared" si="7"/>
        <v>20</v>
      </c>
      <c r="M62">
        <f t="shared" si="7"/>
        <v>20</v>
      </c>
      <c r="N62">
        <f t="shared" si="7"/>
        <v>20</v>
      </c>
      <c r="O62">
        <f t="shared" si="7"/>
        <v>20</v>
      </c>
      <c r="P62">
        <f t="shared" si="7"/>
        <v>20</v>
      </c>
      <c r="Q62">
        <f t="shared" si="7"/>
        <v>20</v>
      </c>
      <c r="R62">
        <f t="shared" si="7"/>
        <v>20</v>
      </c>
      <c r="S62">
        <f t="shared" si="7"/>
        <v>20</v>
      </c>
      <c r="T62">
        <f t="shared" si="7"/>
        <v>20</v>
      </c>
      <c r="U62">
        <f t="shared" si="7"/>
        <v>20</v>
      </c>
      <c r="V62">
        <f t="shared" si="7"/>
        <v>20</v>
      </c>
      <c r="W62">
        <f t="shared" si="7"/>
        <v>20</v>
      </c>
      <c r="X62">
        <f t="shared" si="7"/>
        <v>20</v>
      </c>
    </row>
    <row r="63" spans="1:24">
      <c r="A63" s="58" t="s">
        <v>226</v>
      </c>
      <c r="B63" s="82">
        <f t="shared" ref="B63:X63" si="8">SUM(B53:B59)/((1+B61)^B52)</f>
        <v>264864820.92475194</v>
      </c>
      <c r="C63" s="82">
        <f t="shared" si="8"/>
        <v>529080768.00000006</v>
      </c>
      <c r="D63" s="82">
        <f t="shared" si="8"/>
        <v>526608000.00000006</v>
      </c>
      <c r="E63" s="82">
        <f t="shared" si="8"/>
        <v>4075200402.5288014</v>
      </c>
      <c r="F63" s="82">
        <f t="shared" si="8"/>
        <v>3841645093.165298</v>
      </c>
      <c r="G63" s="82">
        <f t="shared" si="8"/>
        <v>3621473117.6411805</v>
      </c>
      <c r="H63" s="82">
        <f t="shared" si="8"/>
        <v>3413917689.7775059</v>
      </c>
      <c r="I63" s="82">
        <f t="shared" si="8"/>
        <v>3218255949.3477492</v>
      </c>
      <c r="J63" s="82">
        <f t="shared" si="8"/>
        <v>3033806446.1015687</v>
      </c>
      <c r="K63" s="82">
        <f t="shared" si="8"/>
        <v>2859926767.8778715</v>
      </c>
      <c r="L63" s="82">
        <f t="shared" si="8"/>
        <v>2696011304.5563545</v>
      </c>
      <c r="M63" s="82">
        <f t="shared" si="8"/>
        <v>2541489140.0690632</v>
      </c>
      <c r="N63" s="82">
        <f t="shared" si="8"/>
        <v>2395822065.1388922</v>
      </c>
      <c r="O63" s="82">
        <f t="shared" si="8"/>
        <v>2258541422.7148962</v>
      </c>
      <c r="P63" s="82">
        <f t="shared" si="8"/>
        <v>2129052747.4051988</v>
      </c>
      <c r="Q63" s="82">
        <f t="shared" si="8"/>
        <v>2007021289.3086879</v>
      </c>
      <c r="R63" s="82">
        <f t="shared" si="8"/>
        <v>1891983255.5439835</v>
      </c>
      <c r="S63" s="82">
        <f t="shared" si="8"/>
        <v>1783537924.9239554</v>
      </c>
      <c r="T63" s="82">
        <f t="shared" si="8"/>
        <v>1681307534.0822384</v>
      </c>
      <c r="U63" s="82">
        <f t="shared" si="8"/>
        <v>1584935962.380197</v>
      </c>
      <c r="V63" s="82">
        <f t="shared" si="8"/>
        <v>1494087492.1357954</v>
      </c>
      <c r="W63" s="82">
        <f t="shared" si="8"/>
        <v>1408445639.8608835</v>
      </c>
      <c r="X63" s="82">
        <f t="shared" si="8"/>
        <v>1327712054.4404395</v>
      </c>
    </row>
    <row r="64" spans="1:24">
      <c r="A64" s="58" t="s">
        <v>242</v>
      </c>
      <c r="B64" s="58">
        <f t="shared" ref="B64:X64" si="9">B60/((1+B61)^B52)</f>
        <v>0</v>
      </c>
      <c r="C64" s="58">
        <f t="shared" si="9"/>
        <v>0</v>
      </c>
      <c r="D64" s="58">
        <f t="shared" si="9"/>
        <v>0</v>
      </c>
      <c r="E64" s="58">
        <f t="shared" si="9"/>
        <v>12975537.735849056</v>
      </c>
      <c r="F64" s="58">
        <f t="shared" si="9"/>
        <v>12241073.335706655</v>
      </c>
      <c r="G64" s="58">
        <f t="shared" si="9"/>
        <v>11548182.392176088</v>
      </c>
      <c r="H64" s="58">
        <f t="shared" si="9"/>
        <v>10894511.690732159</v>
      </c>
      <c r="I64" s="58">
        <f t="shared" si="9"/>
        <v>10277841.217671847</v>
      </c>
      <c r="J64" s="58">
        <f t="shared" si="9"/>
        <v>9696076.6204451378</v>
      </c>
      <c r="K64" s="58">
        <f t="shared" si="9"/>
        <v>9147242.094759563</v>
      </c>
      <c r="L64" s="58">
        <f t="shared" si="9"/>
        <v>8629473.6743014753</v>
      </c>
      <c r="M64" s="58">
        <f t="shared" si="9"/>
        <v>8141012.9002844114</v>
      </c>
      <c r="N64" s="58">
        <f t="shared" si="9"/>
        <v>7680200.8493249156</v>
      </c>
      <c r="O64" s="58">
        <f t="shared" si="9"/>
        <v>7245472.4993631262</v>
      </c>
      <c r="P64" s="58">
        <f t="shared" si="9"/>
        <v>6835351.4144935152</v>
      </c>
      <c r="Q64" s="58">
        <f t="shared" si="9"/>
        <v>6448444.7306542592</v>
      </c>
      <c r="R64" s="58">
        <f t="shared" si="9"/>
        <v>6083438.4251455273</v>
      </c>
      <c r="S64" s="58">
        <f t="shared" si="9"/>
        <v>5739092.8539108736</v>
      </c>
      <c r="T64" s="58">
        <f t="shared" si="9"/>
        <v>5414238.5414253538</v>
      </c>
      <c r="U64" s="58">
        <f t="shared" si="9"/>
        <v>5107772.2088918425</v>
      </c>
      <c r="V64" s="58">
        <f t="shared" si="9"/>
        <v>4818653.0272564553</v>
      </c>
      <c r="W64" s="58">
        <f t="shared" si="9"/>
        <v>4545899.08231741</v>
      </c>
      <c r="X64" s="58">
        <f t="shared" si="9"/>
        <v>4288584.0399220856</v>
      </c>
    </row>
    <row r="67" spans="1:35">
      <c r="A67" s="1" t="s">
        <v>254</v>
      </c>
    </row>
    <row r="69" spans="1:35">
      <c r="A69" s="58" t="s">
        <v>171</v>
      </c>
      <c r="B69" s="58">
        <v>-2</v>
      </c>
      <c r="C69" s="58">
        <v>-1</v>
      </c>
      <c r="D69" s="58">
        <v>1</v>
      </c>
      <c r="E69" s="58">
        <v>2</v>
      </c>
      <c r="F69" s="58">
        <v>3</v>
      </c>
      <c r="G69" s="58">
        <v>4</v>
      </c>
      <c r="H69" s="58">
        <v>5</v>
      </c>
      <c r="I69" s="58">
        <v>6</v>
      </c>
      <c r="J69" s="58">
        <v>7</v>
      </c>
      <c r="K69" s="58">
        <v>8</v>
      </c>
      <c r="L69" s="58">
        <v>9</v>
      </c>
      <c r="M69" s="58">
        <v>10</v>
      </c>
      <c r="N69" s="58">
        <v>11</v>
      </c>
      <c r="O69" s="58">
        <v>12</v>
      </c>
      <c r="P69" s="58">
        <v>13</v>
      </c>
      <c r="Q69" s="58">
        <v>14</v>
      </c>
      <c r="R69" s="58">
        <v>15</v>
      </c>
      <c r="S69" s="58">
        <v>16</v>
      </c>
      <c r="T69" s="58">
        <v>17</v>
      </c>
      <c r="U69" s="58">
        <v>18</v>
      </c>
      <c r="V69" s="58">
        <v>19</v>
      </c>
      <c r="W69" s="58">
        <v>20</v>
      </c>
      <c r="X69" s="58">
        <v>21</v>
      </c>
      <c r="Y69" s="58">
        <v>22</v>
      </c>
      <c r="Z69" s="58">
        <v>23</v>
      </c>
      <c r="AA69" s="58">
        <v>24</v>
      </c>
      <c r="AB69" s="58">
        <v>25</v>
      </c>
      <c r="AC69" s="58">
        <v>26</v>
      </c>
      <c r="AD69" s="58">
        <v>27</v>
      </c>
      <c r="AE69" s="58">
        <v>28</v>
      </c>
      <c r="AF69" s="58">
        <v>29</v>
      </c>
      <c r="AG69" s="58">
        <v>30</v>
      </c>
    </row>
    <row r="70" spans="1:35">
      <c r="A70" s="58" t="s">
        <v>249</v>
      </c>
      <c r="B70" s="82">
        <f>$H$32/$H$36</f>
        <v>28356933.973893795</v>
      </c>
      <c r="C70" s="82">
        <f>$H$32/$H$36</f>
        <v>28356933.973893795</v>
      </c>
    </row>
    <row r="71" spans="1:35">
      <c r="A71" s="58" t="s">
        <v>170</v>
      </c>
      <c r="D71" s="83">
        <f t="shared" ref="D71:AG71" si="10">$H$32/$H$37</f>
        <v>1890462.2649262531</v>
      </c>
      <c r="E71" s="83">
        <f t="shared" si="10"/>
        <v>1890462.2649262531</v>
      </c>
      <c r="F71" s="83">
        <f t="shared" si="10"/>
        <v>1890462.2649262531</v>
      </c>
      <c r="G71" s="83">
        <f t="shared" si="10"/>
        <v>1890462.2649262531</v>
      </c>
      <c r="H71" s="83">
        <f t="shared" si="10"/>
        <v>1890462.2649262531</v>
      </c>
      <c r="I71" s="83">
        <f t="shared" si="10"/>
        <v>1890462.2649262531</v>
      </c>
      <c r="J71" s="83">
        <f t="shared" si="10"/>
        <v>1890462.2649262531</v>
      </c>
      <c r="K71" s="83">
        <f t="shared" si="10"/>
        <v>1890462.2649262531</v>
      </c>
      <c r="L71" s="83">
        <f t="shared" si="10"/>
        <v>1890462.2649262531</v>
      </c>
      <c r="M71" s="83">
        <f t="shared" si="10"/>
        <v>1890462.2649262531</v>
      </c>
      <c r="N71" s="83">
        <f t="shared" si="10"/>
        <v>1890462.2649262531</v>
      </c>
      <c r="O71" s="83">
        <f t="shared" si="10"/>
        <v>1890462.2649262531</v>
      </c>
      <c r="P71" s="83">
        <f t="shared" si="10"/>
        <v>1890462.2649262531</v>
      </c>
      <c r="Q71" s="83">
        <f t="shared" si="10"/>
        <v>1890462.2649262531</v>
      </c>
      <c r="R71" s="83">
        <f t="shared" si="10"/>
        <v>1890462.2649262531</v>
      </c>
      <c r="S71" s="83">
        <f t="shared" si="10"/>
        <v>1890462.2649262531</v>
      </c>
      <c r="T71" s="83">
        <f t="shared" si="10"/>
        <v>1890462.2649262531</v>
      </c>
      <c r="U71" s="83">
        <f t="shared" si="10"/>
        <v>1890462.2649262531</v>
      </c>
      <c r="V71" s="83">
        <f t="shared" si="10"/>
        <v>1890462.2649262531</v>
      </c>
      <c r="W71" s="83">
        <f t="shared" si="10"/>
        <v>1890462.2649262531</v>
      </c>
      <c r="X71" s="83">
        <f t="shared" si="10"/>
        <v>1890462.2649262531</v>
      </c>
      <c r="Y71" s="83">
        <f t="shared" si="10"/>
        <v>1890462.2649262531</v>
      </c>
      <c r="Z71" s="83">
        <f t="shared" si="10"/>
        <v>1890462.2649262531</v>
      </c>
      <c r="AA71" s="83">
        <f t="shared" si="10"/>
        <v>1890462.2649262531</v>
      </c>
      <c r="AB71" s="83">
        <f t="shared" si="10"/>
        <v>1890462.2649262531</v>
      </c>
      <c r="AC71" s="83">
        <f t="shared" si="10"/>
        <v>1890462.2649262531</v>
      </c>
      <c r="AD71" s="83">
        <f t="shared" si="10"/>
        <v>1890462.2649262531</v>
      </c>
      <c r="AE71" s="83">
        <f t="shared" si="10"/>
        <v>1890462.2649262531</v>
      </c>
      <c r="AF71" s="83">
        <f t="shared" si="10"/>
        <v>1890462.2649262531</v>
      </c>
      <c r="AG71" s="83">
        <f t="shared" si="10"/>
        <v>1890462.2649262531</v>
      </c>
    </row>
    <row r="72" spans="1:35">
      <c r="A72" s="58" t="s">
        <v>190</v>
      </c>
      <c r="B72" s="82">
        <f>SUM(B70)*$H$27</f>
        <v>1701416.0384336277</v>
      </c>
      <c r="C72" s="82">
        <f>SUM($B$70:$C$70)*$H$27</f>
        <v>3402832.0768672554</v>
      </c>
      <c r="D72" s="82">
        <f>SUM($B$70:$C$70)*$H$27</f>
        <v>3402832.0768672554</v>
      </c>
      <c r="E72" s="82">
        <f>SUM($B$70:$C$70,-SUM(D71))*$H$27</f>
        <v>3289404.3409716799</v>
      </c>
      <c r="F72" s="82">
        <f>SUM($B$70:$C$70,-SUM($D$71:E71))*$H$27</f>
        <v>3175976.6050761049</v>
      </c>
      <c r="G72" s="82">
        <f>SUM($B$70:$C$70,-SUM($D$71:F71))*$H$27</f>
        <v>3062548.8691805298</v>
      </c>
      <c r="H72" s="82">
        <f>SUM($B$70:$C$70,-SUM($D$71:G71))*$H$27</f>
        <v>2949121.1332849548</v>
      </c>
      <c r="I72" s="82">
        <f>SUM($B$70:$C$70,-SUM($D$71:H71))*$H$27</f>
        <v>2835693.3973893793</v>
      </c>
      <c r="J72" s="82">
        <f>SUM($B$70:$C$70,-SUM($D$71:I71))*$H$27</f>
        <v>2722265.6614938038</v>
      </c>
      <c r="K72" s="82">
        <f>SUM($B$70:$C$70,-SUM($D$71:J71))*$H$27</f>
        <v>2608837.9255982288</v>
      </c>
      <c r="L72" s="82">
        <f>SUM($B$70:$C$70,-SUM($D$71:K71))*$H$27</f>
        <v>2495410.1897026538</v>
      </c>
      <c r="M72" s="82">
        <f>SUM($B$70:$C$70,-SUM($D$71:L71))*$H$27</f>
        <v>2381982.4538070788</v>
      </c>
      <c r="N72" s="82">
        <f>SUM($B$70:$C$70,-SUM($D$71:M71))*$H$27</f>
        <v>2268554.7179115033</v>
      </c>
      <c r="O72" s="82">
        <f>SUM($B$70:$C$70,-SUM($D$71:N71))*$H$27</f>
        <v>2155126.9820159283</v>
      </c>
      <c r="P72" s="82">
        <f>SUM($B$70:$C$70,-SUM($D$71:O71))*$H$27</f>
        <v>2041699.2461203528</v>
      </c>
      <c r="Q72" s="82">
        <f>SUM($B$70:$C$70,-SUM($D$71:P71))*$H$27</f>
        <v>1928271.5102247775</v>
      </c>
      <c r="R72" s="82">
        <f>SUM($B$70:$C$70,-SUM($D$71:Q71))*$H$27</f>
        <v>1814843.7743292022</v>
      </c>
      <c r="S72" s="82">
        <f>SUM($B$70:$C$70,-SUM($D$71:R71))*$H$27</f>
        <v>1701416.038433627</v>
      </c>
      <c r="T72" s="82">
        <f>SUM($B$70:$C$70,-SUM($D$71:S71))*$H$27</f>
        <v>1587988.3025380517</v>
      </c>
      <c r="U72" s="82">
        <f>SUM($B$70:$C$70,-SUM($D$71:T71))*$H$27</f>
        <v>1474560.5666424765</v>
      </c>
      <c r="V72" s="82">
        <f>SUM($B$70:$C$70,-SUM($D$71:U71))*$H$27</f>
        <v>1361132.8307469012</v>
      </c>
      <c r="W72" s="82">
        <f>SUM($B$70:$C$70,-SUM($D$71:V71))*$H$27</f>
        <v>1247705.094851326</v>
      </c>
      <c r="X72" s="82">
        <f>SUM($B$70:$C$70,-SUM($D$71:W71))*$H$27</f>
        <v>1134277.3589557505</v>
      </c>
      <c r="Y72" s="82">
        <f>SUM($B$70:$C$70,-SUM($D$71:X71))*$H$27</f>
        <v>1020849.6230601753</v>
      </c>
      <c r="Z72" s="82">
        <f>SUM($B$70:$C$70,-SUM($D$71:Y71))*$H$27</f>
        <v>907421.88716459996</v>
      </c>
      <c r="AA72" s="82">
        <f>SUM($B$70:$C$70,-SUM($D$71:Z71))*$H$27</f>
        <v>793994.1512690247</v>
      </c>
      <c r="AB72" s="82">
        <f>SUM($B$70:$C$70,-SUM($D$71:AA71))*$H$27</f>
        <v>680566.41537344945</v>
      </c>
      <c r="AC72" s="82">
        <f>SUM($B$70:$C$70,-SUM($D$71:AB71))*$H$27</f>
        <v>567138.67947787419</v>
      </c>
      <c r="AD72" s="82">
        <f>SUM($B$70:$C$70,-SUM($D$71:AC71))*$H$27</f>
        <v>453710.94358229887</v>
      </c>
      <c r="AE72" s="82">
        <f>SUM($B$70:$C$70,-SUM($D$71:AD71))*$H$27</f>
        <v>340283.20768672362</v>
      </c>
      <c r="AF72" s="82">
        <f>SUM($B$70:$C$70,-SUM($D$71:AE71))*$H$27</f>
        <v>226855.47179114833</v>
      </c>
      <c r="AG72" s="82">
        <f>SUM($B$70:$C$70,-SUM($D$71:AF71))*$H$27</f>
        <v>113427.73589557305</v>
      </c>
    </row>
    <row r="73" spans="1:35">
      <c r="A73" s="58" t="s">
        <v>230</v>
      </c>
      <c r="D73" s="84">
        <f t="shared" ref="D73:AG73" si="11">$H$21*$H$14*$H$12</f>
        <v>260832312.78422853</v>
      </c>
      <c r="E73" s="84">
        <f t="shared" si="11"/>
        <v>260832312.78422853</v>
      </c>
      <c r="F73" s="84">
        <f t="shared" si="11"/>
        <v>260832312.78422853</v>
      </c>
      <c r="G73" s="84">
        <f t="shared" si="11"/>
        <v>260832312.78422853</v>
      </c>
      <c r="H73" s="84">
        <f t="shared" si="11"/>
        <v>260832312.78422853</v>
      </c>
      <c r="I73" s="84">
        <f t="shared" si="11"/>
        <v>260832312.78422853</v>
      </c>
      <c r="J73" s="84">
        <f t="shared" si="11"/>
        <v>260832312.78422853</v>
      </c>
      <c r="K73" s="84">
        <f t="shared" si="11"/>
        <v>260832312.78422853</v>
      </c>
      <c r="L73" s="84">
        <f t="shared" si="11"/>
        <v>260832312.78422853</v>
      </c>
      <c r="M73" s="84">
        <f t="shared" si="11"/>
        <v>260832312.78422853</v>
      </c>
      <c r="N73" s="84">
        <f t="shared" si="11"/>
        <v>260832312.78422853</v>
      </c>
      <c r="O73" s="84">
        <f t="shared" si="11"/>
        <v>260832312.78422853</v>
      </c>
      <c r="P73" s="84">
        <f t="shared" si="11"/>
        <v>260832312.78422853</v>
      </c>
      <c r="Q73" s="84">
        <f t="shared" si="11"/>
        <v>260832312.78422853</v>
      </c>
      <c r="R73" s="84">
        <f t="shared" si="11"/>
        <v>260832312.78422853</v>
      </c>
      <c r="S73" s="84">
        <f t="shared" si="11"/>
        <v>260832312.78422853</v>
      </c>
      <c r="T73" s="84">
        <f t="shared" si="11"/>
        <v>260832312.78422853</v>
      </c>
      <c r="U73" s="84">
        <f t="shared" si="11"/>
        <v>260832312.78422853</v>
      </c>
      <c r="V73" s="84">
        <f t="shared" si="11"/>
        <v>260832312.78422853</v>
      </c>
      <c r="W73" s="84">
        <f t="shared" si="11"/>
        <v>260832312.78422853</v>
      </c>
      <c r="X73" s="84">
        <f t="shared" si="11"/>
        <v>260832312.78422853</v>
      </c>
      <c r="Y73" s="84">
        <f t="shared" si="11"/>
        <v>260832312.78422853</v>
      </c>
      <c r="Z73" s="84">
        <f t="shared" si="11"/>
        <v>260832312.78422853</v>
      </c>
      <c r="AA73" s="84">
        <f t="shared" si="11"/>
        <v>260832312.78422853</v>
      </c>
      <c r="AB73" s="84">
        <f t="shared" si="11"/>
        <v>260832312.78422853</v>
      </c>
      <c r="AC73" s="84">
        <f t="shared" si="11"/>
        <v>260832312.78422853</v>
      </c>
      <c r="AD73" s="84">
        <f t="shared" si="11"/>
        <v>260832312.78422853</v>
      </c>
      <c r="AE73" s="84">
        <f t="shared" si="11"/>
        <v>260832312.78422853</v>
      </c>
      <c r="AF73" s="84">
        <f t="shared" si="11"/>
        <v>260832312.78422853</v>
      </c>
      <c r="AG73" s="84">
        <f t="shared" si="11"/>
        <v>260832312.78422853</v>
      </c>
      <c r="AI73" s="82"/>
    </row>
    <row r="74" spans="1:35" s="17" customFormat="1">
      <c r="A74" s="79" t="s">
        <v>191</v>
      </c>
      <c r="D74" s="112">
        <f t="shared" ref="D74:AG74" si="12">$H$33</f>
        <v>850708.01921681385</v>
      </c>
      <c r="E74" s="112">
        <f t="shared" si="12"/>
        <v>850708.01921681385</v>
      </c>
      <c r="F74" s="112">
        <f t="shared" si="12"/>
        <v>850708.01921681385</v>
      </c>
      <c r="G74" s="112">
        <f t="shared" si="12"/>
        <v>850708.01921681385</v>
      </c>
      <c r="H74" s="112">
        <f t="shared" si="12"/>
        <v>850708.01921681385</v>
      </c>
      <c r="I74" s="112">
        <f t="shared" si="12"/>
        <v>850708.01921681385</v>
      </c>
      <c r="J74" s="112">
        <f t="shared" si="12"/>
        <v>850708.01921681385</v>
      </c>
      <c r="K74" s="112">
        <f t="shared" si="12"/>
        <v>850708.01921681385</v>
      </c>
      <c r="L74" s="112">
        <f t="shared" si="12"/>
        <v>850708.01921681385</v>
      </c>
      <c r="M74" s="112">
        <f t="shared" si="12"/>
        <v>850708.01921681385</v>
      </c>
      <c r="N74" s="112">
        <f t="shared" si="12"/>
        <v>850708.01921681385</v>
      </c>
      <c r="O74" s="112">
        <f t="shared" si="12"/>
        <v>850708.01921681385</v>
      </c>
      <c r="P74" s="112">
        <f t="shared" si="12"/>
        <v>850708.01921681385</v>
      </c>
      <c r="Q74" s="112">
        <f t="shared" si="12"/>
        <v>850708.01921681385</v>
      </c>
      <c r="R74" s="112">
        <f t="shared" si="12"/>
        <v>850708.01921681385</v>
      </c>
      <c r="S74" s="112">
        <f t="shared" si="12"/>
        <v>850708.01921681385</v>
      </c>
      <c r="T74" s="112">
        <f t="shared" si="12"/>
        <v>850708.01921681385</v>
      </c>
      <c r="U74" s="112">
        <f t="shared" si="12"/>
        <v>850708.01921681385</v>
      </c>
      <c r="V74" s="112">
        <f t="shared" si="12"/>
        <v>850708.01921681385</v>
      </c>
      <c r="W74" s="112">
        <f t="shared" si="12"/>
        <v>850708.01921681385</v>
      </c>
      <c r="X74" s="112">
        <f t="shared" si="12"/>
        <v>850708.01921681385</v>
      </c>
      <c r="Y74" s="112">
        <f t="shared" si="12"/>
        <v>850708.01921681385</v>
      </c>
      <c r="Z74" s="112">
        <f t="shared" si="12"/>
        <v>850708.01921681385</v>
      </c>
      <c r="AA74" s="112">
        <f t="shared" si="12"/>
        <v>850708.01921681385</v>
      </c>
      <c r="AB74" s="112">
        <f t="shared" si="12"/>
        <v>850708.01921681385</v>
      </c>
      <c r="AC74" s="112">
        <f t="shared" si="12"/>
        <v>850708.01921681385</v>
      </c>
      <c r="AD74" s="112">
        <f t="shared" si="12"/>
        <v>850708.01921681385</v>
      </c>
      <c r="AE74" s="112">
        <f t="shared" si="12"/>
        <v>850708.01921681385</v>
      </c>
      <c r="AF74" s="112">
        <f t="shared" si="12"/>
        <v>850708.01921681385</v>
      </c>
      <c r="AG74" s="112">
        <f t="shared" si="12"/>
        <v>850708.01921681385</v>
      </c>
    </row>
    <row r="75" spans="1:35">
      <c r="A75" s="58" t="s">
        <v>255</v>
      </c>
      <c r="D75" s="58">
        <f t="shared" ref="D75:AG75" si="13">$H$14</f>
        <v>114617250.00000001</v>
      </c>
      <c r="E75" s="58">
        <f t="shared" si="13"/>
        <v>114617250.00000001</v>
      </c>
      <c r="F75" s="58">
        <f t="shared" si="13"/>
        <v>114617250.00000001</v>
      </c>
      <c r="G75" s="58">
        <f t="shared" si="13"/>
        <v>114617250.00000001</v>
      </c>
      <c r="H75" s="58">
        <f t="shared" si="13"/>
        <v>114617250.00000001</v>
      </c>
      <c r="I75" s="58">
        <f t="shared" si="13"/>
        <v>114617250.00000001</v>
      </c>
      <c r="J75" s="58">
        <f t="shared" si="13"/>
        <v>114617250.00000001</v>
      </c>
      <c r="K75" s="58">
        <f t="shared" si="13"/>
        <v>114617250.00000001</v>
      </c>
      <c r="L75" s="58">
        <f t="shared" si="13"/>
        <v>114617250.00000001</v>
      </c>
      <c r="M75" s="58">
        <f t="shared" si="13"/>
        <v>114617250.00000001</v>
      </c>
      <c r="N75" s="58">
        <f t="shared" si="13"/>
        <v>114617250.00000001</v>
      </c>
      <c r="O75" s="58">
        <f t="shared" si="13"/>
        <v>114617250.00000001</v>
      </c>
      <c r="P75" s="58">
        <f t="shared" si="13"/>
        <v>114617250.00000001</v>
      </c>
      <c r="Q75" s="58">
        <f t="shared" si="13"/>
        <v>114617250.00000001</v>
      </c>
      <c r="R75" s="58">
        <f t="shared" si="13"/>
        <v>114617250.00000001</v>
      </c>
      <c r="S75" s="58">
        <f t="shared" si="13"/>
        <v>114617250.00000001</v>
      </c>
      <c r="T75" s="58">
        <f t="shared" si="13"/>
        <v>114617250.00000001</v>
      </c>
      <c r="U75" s="58">
        <f t="shared" si="13"/>
        <v>114617250.00000001</v>
      </c>
      <c r="V75" s="58">
        <f t="shared" si="13"/>
        <v>114617250.00000001</v>
      </c>
      <c r="W75" s="58">
        <f t="shared" si="13"/>
        <v>114617250.00000001</v>
      </c>
      <c r="X75" s="58">
        <f t="shared" si="13"/>
        <v>114617250.00000001</v>
      </c>
      <c r="Y75" s="58">
        <f t="shared" si="13"/>
        <v>114617250.00000001</v>
      </c>
      <c r="Z75" s="58">
        <f t="shared" si="13"/>
        <v>114617250.00000001</v>
      </c>
      <c r="AA75" s="58">
        <f t="shared" si="13"/>
        <v>114617250.00000001</v>
      </c>
      <c r="AB75" s="58">
        <f t="shared" si="13"/>
        <v>114617250.00000001</v>
      </c>
      <c r="AC75" s="58">
        <f t="shared" si="13"/>
        <v>114617250.00000001</v>
      </c>
      <c r="AD75" s="58">
        <f t="shared" si="13"/>
        <v>114617250.00000001</v>
      </c>
      <c r="AE75" s="58">
        <f t="shared" si="13"/>
        <v>114617250.00000001</v>
      </c>
      <c r="AF75" s="58">
        <f t="shared" si="13"/>
        <v>114617250.00000001</v>
      </c>
      <c r="AG75" s="58">
        <f t="shared" si="13"/>
        <v>114617250.00000001</v>
      </c>
    </row>
    <row r="76" spans="1:35">
      <c r="A76" s="58" t="s">
        <v>166</v>
      </c>
      <c r="D76">
        <f t="shared" ref="D76:AG76" si="14">$H$27</f>
        <v>0.06</v>
      </c>
      <c r="E76">
        <f t="shared" si="14"/>
        <v>0.06</v>
      </c>
      <c r="F76">
        <f t="shared" si="14"/>
        <v>0.06</v>
      </c>
      <c r="G76">
        <f t="shared" si="14"/>
        <v>0.06</v>
      </c>
      <c r="H76">
        <f t="shared" si="14"/>
        <v>0.06</v>
      </c>
      <c r="I76">
        <f t="shared" si="14"/>
        <v>0.06</v>
      </c>
      <c r="J76">
        <f t="shared" si="14"/>
        <v>0.06</v>
      </c>
      <c r="K76">
        <f t="shared" si="14"/>
        <v>0.06</v>
      </c>
      <c r="L76">
        <f t="shared" si="14"/>
        <v>0.06</v>
      </c>
      <c r="M76">
        <f t="shared" si="14"/>
        <v>0.06</v>
      </c>
      <c r="N76">
        <f t="shared" si="14"/>
        <v>0.06</v>
      </c>
      <c r="O76">
        <f t="shared" si="14"/>
        <v>0.06</v>
      </c>
      <c r="P76">
        <f t="shared" si="14"/>
        <v>0.06</v>
      </c>
      <c r="Q76">
        <f t="shared" si="14"/>
        <v>0.06</v>
      </c>
      <c r="R76">
        <f t="shared" si="14"/>
        <v>0.06</v>
      </c>
      <c r="S76">
        <f t="shared" si="14"/>
        <v>0.06</v>
      </c>
      <c r="T76">
        <f t="shared" si="14"/>
        <v>0.06</v>
      </c>
      <c r="U76">
        <f t="shared" si="14"/>
        <v>0.06</v>
      </c>
      <c r="V76">
        <f t="shared" si="14"/>
        <v>0.06</v>
      </c>
      <c r="W76">
        <f t="shared" si="14"/>
        <v>0.06</v>
      </c>
      <c r="X76">
        <f t="shared" si="14"/>
        <v>0.06</v>
      </c>
      <c r="Y76">
        <f t="shared" si="14"/>
        <v>0.06</v>
      </c>
      <c r="Z76">
        <f t="shared" si="14"/>
        <v>0.06</v>
      </c>
      <c r="AA76">
        <f t="shared" si="14"/>
        <v>0.06</v>
      </c>
      <c r="AB76">
        <f t="shared" si="14"/>
        <v>0.06</v>
      </c>
      <c r="AC76">
        <f t="shared" si="14"/>
        <v>0.06</v>
      </c>
      <c r="AD76">
        <f t="shared" si="14"/>
        <v>0.06</v>
      </c>
      <c r="AE76">
        <f t="shared" si="14"/>
        <v>0.06</v>
      </c>
      <c r="AF76">
        <f t="shared" si="14"/>
        <v>0.06</v>
      </c>
      <c r="AG76">
        <f t="shared" si="14"/>
        <v>0.06</v>
      </c>
    </row>
    <row r="77" spans="1:35">
      <c r="A77" s="58" t="s">
        <v>151</v>
      </c>
      <c r="D77">
        <f t="shared" ref="D77:AG77" si="15">$H$37</f>
        <v>30</v>
      </c>
      <c r="E77">
        <f t="shared" si="15"/>
        <v>30</v>
      </c>
      <c r="F77">
        <f t="shared" si="15"/>
        <v>30</v>
      </c>
      <c r="G77">
        <f t="shared" si="15"/>
        <v>30</v>
      </c>
      <c r="H77">
        <f t="shared" si="15"/>
        <v>30</v>
      </c>
      <c r="I77">
        <f t="shared" si="15"/>
        <v>30</v>
      </c>
      <c r="J77">
        <f t="shared" si="15"/>
        <v>30</v>
      </c>
      <c r="K77">
        <f t="shared" si="15"/>
        <v>30</v>
      </c>
      <c r="L77">
        <f t="shared" si="15"/>
        <v>30</v>
      </c>
      <c r="M77">
        <f t="shared" si="15"/>
        <v>30</v>
      </c>
      <c r="N77">
        <f t="shared" si="15"/>
        <v>30</v>
      </c>
      <c r="O77">
        <f t="shared" si="15"/>
        <v>30</v>
      </c>
      <c r="P77">
        <f t="shared" si="15"/>
        <v>30</v>
      </c>
      <c r="Q77">
        <f t="shared" si="15"/>
        <v>30</v>
      </c>
      <c r="R77">
        <f t="shared" si="15"/>
        <v>30</v>
      </c>
      <c r="S77">
        <f t="shared" si="15"/>
        <v>30</v>
      </c>
      <c r="T77">
        <f t="shared" si="15"/>
        <v>30</v>
      </c>
      <c r="U77">
        <f t="shared" si="15"/>
        <v>30</v>
      </c>
      <c r="V77">
        <f t="shared" si="15"/>
        <v>30</v>
      </c>
      <c r="W77">
        <f t="shared" si="15"/>
        <v>30</v>
      </c>
      <c r="X77">
        <f t="shared" si="15"/>
        <v>30</v>
      </c>
      <c r="Y77">
        <f t="shared" si="15"/>
        <v>30</v>
      </c>
      <c r="Z77">
        <f t="shared" si="15"/>
        <v>30</v>
      </c>
      <c r="AA77">
        <f t="shared" si="15"/>
        <v>30</v>
      </c>
      <c r="AB77">
        <f t="shared" si="15"/>
        <v>30</v>
      </c>
      <c r="AC77">
        <f t="shared" si="15"/>
        <v>30</v>
      </c>
      <c r="AD77">
        <f t="shared" si="15"/>
        <v>30</v>
      </c>
      <c r="AE77">
        <f t="shared" si="15"/>
        <v>30</v>
      </c>
      <c r="AF77">
        <f t="shared" si="15"/>
        <v>30</v>
      </c>
      <c r="AG77">
        <f t="shared" si="15"/>
        <v>30</v>
      </c>
    </row>
    <row r="78" spans="1:35">
      <c r="A78" s="58" t="s">
        <v>226</v>
      </c>
      <c r="B78" s="82">
        <f t="shared" ref="B78:AG78" si="16">SUM(B70:B74)/((1+$H$27)^B69)</f>
        <v>33773562.073851094</v>
      </c>
      <c r="C78" s="82">
        <f t="shared" si="16"/>
        <v>33665352.013806716</v>
      </c>
      <c r="D78" s="82">
        <f t="shared" si="16"/>
        <v>251864448.25022531</v>
      </c>
      <c r="E78" s="82">
        <f t="shared" si="16"/>
        <v>237507019.76623642</v>
      </c>
      <c r="F78" s="82">
        <f t="shared" si="16"/>
        <v>223967990.08027402</v>
      </c>
      <c r="G78" s="82">
        <f t="shared" si="16"/>
        <v>211200711.28866547</v>
      </c>
      <c r="H78" s="82">
        <f t="shared" si="16"/>
        <v>199161194.24323314</v>
      </c>
      <c r="I78" s="82">
        <f t="shared" si="16"/>
        <v>187807957.01939195</v>
      </c>
      <c r="J78" s="82">
        <f t="shared" si="16"/>
        <v>177101882.02018315</v>
      </c>
      <c r="K78" s="82">
        <f t="shared" si="16"/>
        <v>167006081.22409785</v>
      </c>
      <c r="L78" s="82">
        <f t="shared" si="16"/>
        <v>157485769.11258838</v>
      </c>
      <c r="M78" s="82">
        <f t="shared" si="16"/>
        <v>148508142.83961329</v>
      </c>
      <c r="N78" s="82">
        <f t="shared" si="16"/>
        <v>140042269.23050177</v>
      </c>
      <c r="O78" s="82">
        <f t="shared" si="16"/>
        <v>132058978.22094204</v>
      </c>
      <c r="P78" s="82">
        <f t="shared" si="16"/>
        <v>124530762.36907737</v>
      </c>
      <c r="Q78" s="82">
        <f t="shared" si="16"/>
        <v>117431682.09460841</v>
      </c>
      <c r="R78" s="82">
        <f t="shared" si="16"/>
        <v>110737276.31852299</v>
      </c>
      <c r="S78" s="82">
        <f t="shared" si="16"/>
        <v>104424478.19567494</v>
      </c>
      <c r="T78" s="82">
        <f t="shared" si="16"/>
        <v>98471535.649971396</v>
      </c>
      <c r="U78" s="82">
        <f t="shared" si="16"/>
        <v>92857936.438469604</v>
      </c>
      <c r="V78" s="82">
        <f t="shared" si="16"/>
        <v>87564337.486279935</v>
      </c>
      <c r="W78" s="82">
        <f t="shared" si="16"/>
        <v>82572498.248882055</v>
      </c>
      <c r="X78" s="82">
        <f t="shared" si="16"/>
        <v>77865217.87233001</v>
      </c>
      <c r="Y78" s="82">
        <f t="shared" si="16"/>
        <v>73426275.934903502</v>
      </c>
      <c r="Z78" s="82">
        <f t="shared" si="16"/>
        <v>69240376.566095963</v>
      </c>
      <c r="AA78" s="82">
        <f t="shared" si="16"/>
        <v>65293095.750462748</v>
      </c>
      <c r="AB78" s="82">
        <f t="shared" si="16"/>
        <v>61570831.634821162</v>
      </c>
      <c r="AC78" s="82">
        <f t="shared" si="16"/>
        <v>58060757.667638049</v>
      </c>
      <c r="AD78" s="82">
        <f t="shared" si="16"/>
        <v>54750778.409194991</v>
      </c>
      <c r="AE78" s="82">
        <f t="shared" si="16"/>
        <v>51629487.860319816</v>
      </c>
      <c r="AF78" s="82">
        <f t="shared" si="16"/>
        <v>48686130.166147217</v>
      </c>
      <c r="AG78" s="82">
        <f t="shared" si="16"/>
        <v>45910562.559551701</v>
      </c>
    </row>
    <row r="79" spans="1:35">
      <c r="A79" s="58" t="s">
        <v>257</v>
      </c>
      <c r="B79" s="58">
        <f t="shared" ref="B79:AG79" si="17">B75/((1+$H$27)^B69)</f>
        <v>0</v>
      </c>
      <c r="C79" s="58">
        <f t="shared" si="17"/>
        <v>0</v>
      </c>
      <c r="D79" s="58">
        <f t="shared" si="17"/>
        <v>108129481.13207547</v>
      </c>
      <c r="E79" s="58">
        <f t="shared" si="17"/>
        <v>102008944.46422215</v>
      </c>
      <c r="F79" s="58">
        <f t="shared" si="17"/>
        <v>96234853.268134087</v>
      </c>
      <c r="G79" s="58">
        <f t="shared" si="17"/>
        <v>90787597.422768012</v>
      </c>
      <c r="H79" s="58">
        <f t="shared" si="17"/>
        <v>85648676.813932076</v>
      </c>
      <c r="I79" s="58">
        <f t="shared" si="17"/>
        <v>80800638.503709495</v>
      </c>
      <c r="J79" s="58">
        <f t="shared" si="17"/>
        <v>76227017.456329703</v>
      </c>
      <c r="K79" s="58">
        <f t="shared" si="17"/>
        <v>71912280.619178966</v>
      </c>
      <c r="L79" s="58">
        <f t="shared" si="17"/>
        <v>67841774.169036761</v>
      </c>
      <c r="M79" s="58">
        <f t="shared" si="17"/>
        <v>64001673.744374305</v>
      </c>
      <c r="N79" s="58">
        <f t="shared" si="17"/>
        <v>60378937.494692728</v>
      </c>
      <c r="O79" s="58">
        <f t="shared" si="17"/>
        <v>56961261.78744597</v>
      </c>
      <c r="P79" s="58">
        <f t="shared" si="17"/>
        <v>53737039.422118835</v>
      </c>
      <c r="Q79" s="58">
        <f t="shared" si="17"/>
        <v>50695320.209546067</v>
      </c>
      <c r="R79" s="58">
        <f t="shared" si="17"/>
        <v>47825773.78259062</v>
      </c>
      <c r="S79" s="58">
        <f t="shared" si="17"/>
        <v>45118654.511877954</v>
      </c>
      <c r="T79" s="58">
        <f t="shared" si="17"/>
        <v>42564768.407432027</v>
      </c>
      <c r="U79" s="58">
        <f t="shared" si="17"/>
        <v>40155441.893803798</v>
      </c>
      <c r="V79" s="58">
        <f t="shared" si="17"/>
        <v>37882492.352645092</v>
      </c>
      <c r="W79" s="58">
        <f t="shared" si="17"/>
        <v>35738200.332684048</v>
      </c>
      <c r="X79" s="58">
        <f t="shared" si="17"/>
        <v>33715283.332720794</v>
      </c>
      <c r="Y79" s="58">
        <f t="shared" si="17"/>
        <v>31806871.068604521</v>
      </c>
      <c r="Z79" s="58">
        <f t="shared" si="17"/>
        <v>30006482.140192941</v>
      </c>
      <c r="AA79" s="58">
        <f t="shared" si="17"/>
        <v>28308002.019049946</v>
      </c>
      <c r="AB79" s="58">
        <f t="shared" si="17"/>
        <v>26705662.282122593</v>
      </c>
      <c r="AC79" s="58">
        <f t="shared" si="17"/>
        <v>25194021.020870369</v>
      </c>
      <c r="AD79" s="58">
        <f t="shared" si="17"/>
        <v>23767944.359311663</v>
      </c>
      <c r="AE79" s="58">
        <f t="shared" si="17"/>
        <v>22422589.018218551</v>
      </c>
      <c r="AF79" s="58">
        <f t="shared" si="17"/>
        <v>21153385.866243914</v>
      </c>
      <c r="AG79" s="58">
        <f t="shared" si="17"/>
        <v>19956024.402116898</v>
      </c>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'Cost model'!$B$1:$G$1</xm:f>
          </x14:formula1>
          <xm:sqref>B11 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4"/>
  <sheetViews>
    <sheetView tabSelected="1" zoomScale="134" workbookViewId="0"/>
  </sheetViews>
  <sheetFormatPr baseColWidth="10" defaultRowHeight="16"/>
  <cols>
    <col min="1" max="1" width="51.33203125" style="2" bestFit="1" customWidth="1"/>
    <col min="2" max="2" width="15.6640625" bestFit="1" customWidth="1"/>
    <col min="3" max="4" width="15.6640625" customWidth="1"/>
    <col min="5" max="5" width="15.6640625" bestFit="1" customWidth="1"/>
    <col min="6" max="6" width="15.6640625" style="2" bestFit="1" customWidth="1"/>
    <col min="7" max="7" width="15.6640625" customWidth="1"/>
    <col min="8" max="8" width="14.6640625" customWidth="1"/>
    <col min="9" max="9" width="15.6640625" customWidth="1"/>
  </cols>
  <sheetData>
    <row r="1" spans="1:10" s="92" customFormat="1">
      <c r="A1" s="91"/>
      <c r="B1" s="88" t="str">
        <f>'Cost model'!B1</f>
        <v>Nuclear EPR, must-run</v>
      </c>
      <c r="C1" s="88" t="str">
        <f>'Cost model'!C1</f>
        <v>Nuclear EPR, merit order</v>
      </c>
      <c r="D1" s="88" t="str">
        <f>'Cost model'!D1</f>
        <v>Solar, lifetime 40</v>
      </c>
      <c r="E1" s="88" t="str">
        <f>'Cost model'!E1</f>
        <v>Solar, lifetime 25</v>
      </c>
      <c r="F1" s="88" t="str">
        <f>'Cost model'!F1</f>
        <v>Wind, on-shore</v>
      </c>
      <c r="G1" s="88" t="str">
        <f>'Cost model'!G1</f>
        <v>Wind-off-shore</v>
      </c>
      <c r="H1" s="88"/>
      <c r="I1" s="88"/>
      <c r="J1" s="88"/>
    </row>
    <row r="2" spans="1:10" s="92" customFormat="1">
      <c r="A2" s="88" t="str">
        <f>'Cost model'!A2</f>
        <v>LCOE</v>
      </c>
      <c r="B2" s="91">
        <f>'Cost model'!B2</f>
        <v>91.925978051833368</v>
      </c>
      <c r="C2" s="91">
        <f>'Cost model'!C2</f>
        <v>199.95165079203099</v>
      </c>
      <c r="D2" s="91">
        <f>'Cost model'!D2</f>
        <v>22.306832945619757</v>
      </c>
      <c r="E2" s="91">
        <f>'Cost model'!E2</f>
        <v>26.849441361174247</v>
      </c>
      <c r="F2" s="91">
        <f>'Cost model'!F2</f>
        <v>22.756811281393375</v>
      </c>
      <c r="G2" s="91">
        <f>'Cost model'!G2</f>
        <v>23.229583151853834</v>
      </c>
    </row>
    <row r="3" spans="1:10" s="92" customFormat="1" hidden="1">
      <c r="A3" s="88" t="str">
        <f>'Cost model'!A3</f>
        <v>LCOE with CO2 tax</v>
      </c>
      <c r="B3" s="91">
        <f>'Cost model'!B3</f>
        <v>95.318044958961494</v>
      </c>
      <c r="C3" s="91"/>
      <c r="D3" s="91">
        <f>'Cost model'!E3</f>
        <v>28.367358233537484</v>
      </c>
      <c r="E3" s="91">
        <f>'Cost model'!F3</f>
        <v>23.790283683122489</v>
      </c>
      <c r="F3" s="91">
        <f>'Cost model'!G3</f>
        <v>24.263944856762478</v>
      </c>
    </row>
    <row r="4" spans="1:10" s="92" customFormat="1" hidden="1">
      <c r="A4" s="88" t="str">
        <f>'Cost model'!A4</f>
        <v>LCOE with system costs</v>
      </c>
      <c r="B4" s="91">
        <f>'Cost model'!B4</f>
        <v>91.925978051833368</v>
      </c>
      <c r="C4" s="91"/>
      <c r="D4" s="91">
        <f>'Cost model'!E4</f>
        <v>26.849441361174247</v>
      </c>
      <c r="E4" s="91">
        <f>'Cost model'!F4</f>
        <v>22.756811281393375</v>
      </c>
      <c r="F4" s="91">
        <f>'Cost model'!G4</f>
        <v>23.229583151853834</v>
      </c>
    </row>
    <row r="5" spans="1:10" s="92" customFormat="1" hidden="1">
      <c r="A5" s="88" t="str">
        <f>'Cost model'!A5</f>
        <v>LCOE with system costs and CO2 tax</v>
      </c>
      <c r="B5" s="91">
        <f>'Cost model'!B5</f>
        <v>95.318044958961494</v>
      </c>
      <c r="C5" s="91"/>
      <c r="D5" s="91">
        <f>'Cost model'!E5</f>
        <v>28.367358233537484</v>
      </c>
      <c r="E5" s="91">
        <f>'Cost model'!F5</f>
        <v>23.790283683122489</v>
      </c>
      <c r="F5" s="91">
        <f>'Cost model'!G5</f>
        <v>24.263944856762478</v>
      </c>
    </row>
    <row r="6" spans="1:10" s="92" customFormat="1">
      <c r="A6" s="93" t="s">
        <v>271</v>
      </c>
      <c r="B6" s="114">
        <f>B2*9000*B24/1000000</f>
        <v>6453.203659238703</v>
      </c>
      <c r="C6" s="114">
        <f>C2*9000*C24/1000000</f>
        <v>5803.5966642386993</v>
      </c>
      <c r="F6" s="93"/>
    </row>
    <row r="7" spans="1:10" s="36" customFormat="1">
      <c r="A7" s="35" t="s">
        <v>120</v>
      </c>
      <c r="F7" s="37"/>
    </row>
    <row r="8" spans="1:10" s="36" customFormat="1">
      <c r="A8" s="35"/>
      <c r="F8" s="37"/>
    </row>
    <row r="9" spans="1:10" s="36" customFormat="1">
      <c r="A9" s="37" t="s">
        <v>172</v>
      </c>
      <c r="B9" s="57">
        <v>0.15</v>
      </c>
      <c r="C9" s="57"/>
      <c r="F9" s="37"/>
    </row>
    <row r="10" spans="1:10" s="36" customFormat="1">
      <c r="A10" s="37" t="s">
        <v>121</v>
      </c>
      <c r="B10" s="38">
        <v>0.05</v>
      </c>
      <c r="C10" s="38"/>
      <c r="F10" s="37"/>
    </row>
    <row r="11" spans="1:10" s="36" customFormat="1">
      <c r="A11" s="37" t="s">
        <v>189</v>
      </c>
      <c r="B11" s="38">
        <v>0.2</v>
      </c>
      <c r="C11" s="38"/>
      <c r="F11" s="37"/>
    </row>
    <row r="12" spans="1:10" s="36" customFormat="1">
      <c r="A12" s="37" t="s">
        <v>217</v>
      </c>
      <c r="B12" s="38">
        <v>0</v>
      </c>
      <c r="C12" s="38"/>
      <c r="F12" s="37"/>
    </row>
    <row r="13" spans="1:10" s="36" customFormat="1">
      <c r="A13" s="37" t="s">
        <v>220</v>
      </c>
      <c r="B13" s="81">
        <v>135</v>
      </c>
      <c r="C13" s="38"/>
      <c r="F13" s="37"/>
    </row>
    <row r="14" spans="1:10" s="36" customFormat="1">
      <c r="A14" s="37" t="s">
        <v>218</v>
      </c>
      <c r="B14" s="38">
        <v>0</v>
      </c>
      <c r="C14" s="38"/>
      <c r="F14" s="37"/>
    </row>
    <row r="15" spans="1:10" s="36" customFormat="1">
      <c r="A15" s="37" t="s">
        <v>214</v>
      </c>
      <c r="B15" s="38">
        <v>0</v>
      </c>
      <c r="C15" s="38"/>
      <c r="F15" s="37"/>
    </row>
    <row r="16" spans="1:10" s="36" customFormat="1">
      <c r="A16" s="37" t="s">
        <v>219</v>
      </c>
      <c r="B16" s="38">
        <v>0</v>
      </c>
      <c r="C16" s="38"/>
      <c r="F16" s="37"/>
    </row>
    <row r="17" spans="1:14" s="36" customFormat="1">
      <c r="A17" s="37" t="s">
        <v>215</v>
      </c>
      <c r="B17" s="38">
        <v>0</v>
      </c>
      <c r="C17" s="38"/>
      <c r="F17" s="37"/>
    </row>
    <row r="18" spans="1:14" s="36" customFormat="1">
      <c r="A18" s="37" t="s">
        <v>216</v>
      </c>
      <c r="B18" s="38">
        <v>0</v>
      </c>
      <c r="C18" s="38"/>
      <c r="F18" s="37"/>
    </row>
    <row r="19" spans="1:14" s="36" customFormat="1">
      <c r="A19" s="37"/>
      <c r="F19" s="37"/>
    </row>
    <row r="20" spans="1:14">
      <c r="A20" s="5"/>
      <c r="B20" s="17"/>
      <c r="C20" s="17"/>
      <c r="D20" s="17"/>
      <c r="E20" s="17"/>
      <c r="F20" s="5"/>
      <c r="G20" s="17"/>
      <c r="H20" s="17"/>
      <c r="I20" s="17"/>
      <c r="J20" s="17"/>
      <c r="K20" s="17"/>
    </row>
    <row r="21" spans="1:14">
      <c r="A21" s="5"/>
      <c r="B21" s="72" t="s">
        <v>221</v>
      </c>
      <c r="C21" s="59" t="s">
        <v>222</v>
      </c>
      <c r="D21" s="72" t="s">
        <v>213</v>
      </c>
      <c r="E21" s="72" t="s">
        <v>212</v>
      </c>
      <c r="F21" s="72" t="s">
        <v>3</v>
      </c>
      <c r="G21" s="34" t="s">
        <v>4</v>
      </c>
      <c r="H21" s="34" t="s">
        <v>82</v>
      </c>
      <c r="I21" s="34" t="s">
        <v>81</v>
      </c>
      <c r="J21" s="34" t="s">
        <v>83</v>
      </c>
      <c r="K21" s="17"/>
      <c r="L21" s="34"/>
    </row>
    <row r="22" spans="1:14">
      <c r="A22" s="34" t="s">
        <v>9</v>
      </c>
      <c r="B22" s="17"/>
      <c r="C22" s="17"/>
      <c r="D22" s="17"/>
      <c r="E22" s="17"/>
      <c r="F22" s="17"/>
      <c r="G22" s="5"/>
      <c r="H22" s="17"/>
      <c r="I22" s="17"/>
      <c r="J22" s="17"/>
      <c r="K22" s="17"/>
      <c r="L22" s="17"/>
    </row>
    <row r="23" spans="1:14">
      <c r="A23" s="5" t="s">
        <v>21</v>
      </c>
      <c r="B23" s="17">
        <v>1600</v>
      </c>
      <c r="C23" s="17">
        <v>1600</v>
      </c>
      <c r="D23" s="17">
        <v>20</v>
      </c>
      <c r="E23" s="17">
        <v>20</v>
      </c>
      <c r="F23" s="17">
        <v>3</v>
      </c>
      <c r="G23" s="5">
        <v>3</v>
      </c>
      <c r="H23" s="17">
        <f>'Standardized cost in reports'!G3</f>
        <v>10</v>
      </c>
      <c r="I23" s="17">
        <f>'Standardized cost in reports'!AD3</f>
        <v>129</v>
      </c>
      <c r="J23" s="17">
        <f>'Standardized cost in reports'!AE3</f>
        <v>10</v>
      </c>
      <c r="K23" s="17"/>
      <c r="L23" s="17"/>
    </row>
    <row r="24" spans="1:14">
      <c r="A24" s="5" t="s">
        <v>123</v>
      </c>
      <c r="B24" s="17">
        <v>7800</v>
      </c>
      <c r="C24" s="17">
        <v>3225</v>
      </c>
      <c r="D24" s="17">
        <v>875</v>
      </c>
      <c r="E24" s="17">
        <v>875</v>
      </c>
      <c r="F24" s="17">
        <v>3000</v>
      </c>
      <c r="G24" s="5">
        <v>4500</v>
      </c>
      <c r="H24" s="17"/>
      <c r="I24" s="17"/>
      <c r="J24" s="17">
        <f>'Standardized cost in reports'!AE5</f>
        <v>3000</v>
      </c>
      <c r="K24" s="17"/>
      <c r="L24" s="17"/>
      <c r="M24" s="17"/>
      <c r="N24" s="5"/>
    </row>
    <row r="25" spans="1:14">
      <c r="A25" s="5"/>
      <c r="B25" s="17"/>
      <c r="C25" s="17"/>
      <c r="D25" s="17"/>
      <c r="E25" s="17"/>
      <c r="F25" s="17"/>
      <c r="G25" s="5"/>
      <c r="H25" s="17"/>
      <c r="I25" s="17"/>
      <c r="J25" s="17"/>
      <c r="K25" s="17"/>
      <c r="L25" s="17"/>
    </row>
    <row r="26" spans="1:14">
      <c r="A26" s="34" t="s">
        <v>14</v>
      </c>
      <c r="B26" s="17"/>
      <c r="D26" s="17"/>
      <c r="E26" s="17"/>
      <c r="F26" s="17"/>
      <c r="G26" s="5"/>
      <c r="H26" s="17"/>
      <c r="I26" s="17"/>
      <c r="J26" s="17"/>
      <c r="K26" s="17"/>
      <c r="L26" s="17"/>
    </row>
    <row r="27" spans="1:14">
      <c r="A27" s="5" t="s">
        <v>124</v>
      </c>
      <c r="B27" s="66">
        <f>AVERAGE(6563,5215)*1000*(1-B11)*(1+0.18*0.5)</f>
        <v>5135208</v>
      </c>
      <c r="C27" s="66">
        <f>AVERAGE(6563,5215)*1000*(1-B11)*(1+0.18*0.5)</f>
        <v>5135208</v>
      </c>
      <c r="D27" s="66">
        <v>278000</v>
      </c>
      <c r="E27" s="66">
        <v>278000</v>
      </c>
      <c r="F27" s="66">
        <v>711000</v>
      </c>
      <c r="G27" s="66">
        <v>1000000</v>
      </c>
      <c r="H27" s="66">
        <f>'Standardized cost in reports'!G9</f>
        <v>3862600</v>
      </c>
      <c r="I27" s="66">
        <f>AVERAGE('Standardized cost in reports'!H9,'Standardized cost in reports'!AD9)</f>
        <v>734864</v>
      </c>
      <c r="J27" s="66">
        <f>'Standardized cost in reports'!AE9</f>
        <v>1000000</v>
      </c>
      <c r="K27" s="17"/>
      <c r="L27" s="17"/>
    </row>
    <row r="28" spans="1:14">
      <c r="A28" s="5" t="s">
        <v>166</v>
      </c>
      <c r="B28" s="69">
        <v>7.0000000000000007E-2</v>
      </c>
      <c r="C28" s="69">
        <v>7.0000000000000007E-2</v>
      </c>
      <c r="D28" s="69">
        <v>4.2999999999999997E-2</v>
      </c>
      <c r="E28" s="69">
        <v>4.2999999999999997E-2</v>
      </c>
      <c r="F28" s="69">
        <v>4.2999999999999997E-2</v>
      </c>
      <c r="G28" s="69">
        <v>4.2999999999999997E-2</v>
      </c>
      <c r="H28" s="69">
        <v>0.08</v>
      </c>
      <c r="I28" s="69">
        <v>0.08</v>
      </c>
      <c r="J28" s="69">
        <v>0.08</v>
      </c>
      <c r="K28" s="17"/>
      <c r="L28" s="17"/>
    </row>
    <row r="29" spans="1:14">
      <c r="A29" s="5" t="s">
        <v>173</v>
      </c>
      <c r="B29" s="69">
        <v>7.0000000000000007E-2</v>
      </c>
      <c r="C29" s="69">
        <v>7.0000000000000007E-2</v>
      </c>
      <c r="D29" s="69">
        <v>4.2999999999999997E-2</v>
      </c>
      <c r="E29" s="69">
        <v>4.2999999999999997E-2</v>
      </c>
      <c r="F29" s="69">
        <v>4.2999999999999997E-2</v>
      </c>
      <c r="G29" s="69">
        <v>4.2999999999999997E-2</v>
      </c>
      <c r="H29" s="69">
        <v>0.08</v>
      </c>
      <c r="I29" s="69">
        <v>0.08</v>
      </c>
      <c r="J29" s="69">
        <v>0.08</v>
      </c>
      <c r="K29" s="17"/>
      <c r="L29" s="17"/>
    </row>
    <row r="30" spans="1:14">
      <c r="A30" s="5" t="s">
        <v>117</v>
      </c>
      <c r="B30" s="66">
        <f>100000*$B$54</f>
        <v>89000</v>
      </c>
      <c r="C30" s="66">
        <f>100000*0.89</f>
        <v>89000</v>
      </c>
      <c r="D30" s="66">
        <f>0.015*D27</f>
        <v>4170</v>
      </c>
      <c r="E30" s="66">
        <f>0.015*E27</f>
        <v>4170</v>
      </c>
      <c r="F30" s="66">
        <f>0.025*F27</f>
        <v>17775</v>
      </c>
      <c r="G30" s="66">
        <f>0.032*G27</f>
        <v>32000</v>
      </c>
      <c r="H30" s="66">
        <f>'Standardized cost in reports'!G11</f>
        <v>56420</v>
      </c>
      <c r="I30" s="66">
        <f>AVERAGE('Standardized cost in reports'!H11,'Standardized cost in reports'!AD11)</f>
        <v>9840.4599999999991</v>
      </c>
      <c r="J30" s="66">
        <f>'Standardized cost in reports'!AE11</f>
        <v>126000</v>
      </c>
      <c r="K30" s="17"/>
      <c r="L30" s="17"/>
    </row>
    <row r="31" spans="1:14">
      <c r="A31" s="5" t="s">
        <v>174</v>
      </c>
      <c r="B31" s="75">
        <f>8.35*B54</f>
        <v>7.4314999999999998</v>
      </c>
      <c r="C31" s="75">
        <f>8.35*B54</f>
        <v>7.4314999999999998</v>
      </c>
      <c r="D31" s="66">
        <v>0</v>
      </c>
      <c r="E31" s="66">
        <v>0</v>
      </c>
      <c r="F31" s="66">
        <f>AVERAGE('Standardized cost in reports'!E12,'Standardized cost in reports'!W12,'Standardized cost in reports'!AA12)</f>
        <v>0</v>
      </c>
      <c r="G31" s="71">
        <f>'Standardized cost in reports'!AB12</f>
        <v>0</v>
      </c>
      <c r="H31" s="66">
        <f>'Standardized cost in reports'!G12</f>
        <v>0</v>
      </c>
      <c r="I31" s="66">
        <f>AVERAGE('Standardized cost in reports'!H13,'Standardized cost in reports'!AE12)</f>
        <v>0</v>
      </c>
      <c r="J31" s="66">
        <f>'Standardized cost in reports'!AE12</f>
        <v>0</v>
      </c>
      <c r="K31" s="17"/>
      <c r="L31" s="17"/>
    </row>
    <row r="32" spans="1:14">
      <c r="A32" s="5" t="s">
        <v>267</v>
      </c>
      <c r="B32" s="69">
        <f>((((8.9*(1-B12))*(B13))+((7.5*(1-B14))*(14*(1-B15)))+((7.3*(1-B16))*(121*(1-B17)))+(347*(1-B18)))*$B$54)/360</f>
        <v>6.2715333333333341</v>
      </c>
      <c r="C32" s="69">
        <f>((((8.9*(1-B12))*(B13))+((7.5*(1-B14))*(14*(1-B15)))+((7.3*(1-B16))*(121*(1-B17)))+(347*(1-B18)))*$B$54)/360</f>
        <v>6.2715333333333341</v>
      </c>
      <c r="D32" s="66">
        <f>'Standardized cost in reports'!Y13</f>
        <v>0</v>
      </c>
      <c r="E32" s="66">
        <f>'Standardized cost in reports'!Z13</f>
        <v>0</v>
      </c>
      <c r="F32" s="66">
        <f>'Standardized cost in reports'!AA13</f>
        <v>0</v>
      </c>
      <c r="G32" s="71">
        <f>'Standardized cost in reports'!AB13</f>
        <v>0</v>
      </c>
      <c r="H32" s="66">
        <f>'Standardized cost in reports'!G13</f>
        <v>0</v>
      </c>
      <c r="I32" s="66"/>
      <c r="J32" s="66"/>
      <c r="K32" s="17"/>
      <c r="L32" s="17"/>
    </row>
    <row r="33" spans="1:14">
      <c r="A33" s="74" t="s">
        <v>203</v>
      </c>
      <c r="B33" s="66">
        <v>0</v>
      </c>
      <c r="C33" s="66">
        <v>0</v>
      </c>
      <c r="D33" s="66">
        <v>0</v>
      </c>
      <c r="E33" s="66">
        <v>0</v>
      </c>
      <c r="F33" s="66">
        <v>0</v>
      </c>
      <c r="G33" s="66">
        <v>0</v>
      </c>
      <c r="H33" s="66">
        <v>0</v>
      </c>
      <c r="I33" s="66">
        <v>0</v>
      </c>
      <c r="J33" s="66">
        <v>0</v>
      </c>
      <c r="K33" s="17"/>
      <c r="L33" s="17"/>
    </row>
    <row r="34" spans="1:14">
      <c r="A34" s="74" t="s">
        <v>204</v>
      </c>
      <c r="B34" s="66">
        <v>0</v>
      </c>
      <c r="C34" s="66">
        <v>0</v>
      </c>
      <c r="D34" s="66">
        <v>0</v>
      </c>
      <c r="E34" s="66">
        <v>0</v>
      </c>
      <c r="F34" s="66">
        <v>0</v>
      </c>
      <c r="G34" s="66">
        <v>0</v>
      </c>
      <c r="H34" s="66">
        <v>0</v>
      </c>
      <c r="I34" s="66">
        <v>0</v>
      </c>
      <c r="J34" s="66">
        <v>0</v>
      </c>
      <c r="K34" s="17"/>
      <c r="L34" s="17"/>
    </row>
    <row r="35" spans="1:14">
      <c r="A35" s="74" t="s">
        <v>205</v>
      </c>
      <c r="B35" s="66">
        <v>0</v>
      </c>
      <c r="C35" s="66">
        <v>0</v>
      </c>
      <c r="D35" s="66">
        <v>0</v>
      </c>
      <c r="E35" s="66">
        <v>0</v>
      </c>
      <c r="F35" s="66">
        <v>0</v>
      </c>
      <c r="G35" s="66">
        <v>0</v>
      </c>
      <c r="H35" s="66">
        <v>0</v>
      </c>
      <c r="I35" s="66">
        <v>0</v>
      </c>
      <c r="J35" s="66">
        <v>0</v>
      </c>
      <c r="K35" s="17"/>
      <c r="L35" s="17"/>
    </row>
    <row r="36" spans="1:14">
      <c r="A36" s="74" t="s">
        <v>206</v>
      </c>
      <c r="B36" s="66">
        <v>0</v>
      </c>
      <c r="C36" s="66">
        <v>0</v>
      </c>
      <c r="D36" s="66">
        <v>0</v>
      </c>
      <c r="E36" s="66">
        <v>0</v>
      </c>
      <c r="F36" s="66">
        <v>0</v>
      </c>
      <c r="G36" s="66">
        <v>0</v>
      </c>
      <c r="H36" s="66">
        <v>0</v>
      </c>
      <c r="I36" s="66">
        <v>0</v>
      </c>
      <c r="J36" s="66">
        <v>0</v>
      </c>
      <c r="K36" s="17"/>
      <c r="L36" s="17"/>
    </row>
    <row r="37" spans="1:14">
      <c r="A37" s="5" t="s">
        <v>119</v>
      </c>
      <c r="B37" s="75">
        <f>2.33*$B$54</f>
        <v>2.0737000000000001</v>
      </c>
      <c r="C37" s="75">
        <f>2.33*0.89</f>
        <v>2.0737000000000001</v>
      </c>
      <c r="D37" s="66"/>
      <c r="E37" s="66"/>
      <c r="F37" s="66"/>
      <c r="G37" s="71"/>
      <c r="H37" s="66"/>
      <c r="I37" s="66"/>
      <c r="J37" s="66"/>
      <c r="K37" s="17"/>
      <c r="L37" s="17"/>
    </row>
    <row r="38" spans="1:14">
      <c r="A38" s="5" t="s">
        <v>268</v>
      </c>
      <c r="B38" s="66">
        <f>B9*B27/B42</f>
        <v>12838.019999999999</v>
      </c>
      <c r="C38" s="66">
        <f>B9*C27/C42</f>
        <v>12838.019999999999</v>
      </c>
      <c r="D38" s="66">
        <f t="shared" ref="D38:I38" si="0">$B$10*D27/D42</f>
        <v>347.5</v>
      </c>
      <c r="E38" s="66">
        <f t="shared" si="0"/>
        <v>556</v>
      </c>
      <c r="F38" s="66">
        <f t="shared" si="0"/>
        <v>1422</v>
      </c>
      <c r="G38" s="66">
        <f t="shared" si="0"/>
        <v>2000</v>
      </c>
      <c r="H38" s="66">
        <f t="shared" si="0"/>
        <v>2414.125</v>
      </c>
      <c r="I38" s="66">
        <f t="shared" si="0"/>
        <v>3674.3200000000006</v>
      </c>
      <c r="J38" s="66">
        <f>($B$10*J27)/(J23*J24*J42)</f>
        <v>6.6666666666666666E-2</v>
      </c>
      <c r="K38" s="17"/>
      <c r="L38" s="17"/>
      <c r="M38" t="s">
        <v>223</v>
      </c>
      <c r="N38" t="s">
        <v>224</v>
      </c>
    </row>
    <row r="39" spans="1:14">
      <c r="A39" s="5"/>
      <c r="B39" s="17">
        <f>B38*B42</f>
        <v>770281.2</v>
      </c>
      <c r="C39" s="17"/>
      <c r="D39" s="17"/>
      <c r="E39" s="17"/>
      <c r="F39" s="17"/>
      <c r="G39" s="5"/>
      <c r="H39" s="17"/>
      <c r="I39" s="17"/>
      <c r="J39" s="17"/>
      <c r="K39" s="17"/>
      <c r="L39" s="17"/>
      <c r="M39" s="55">
        <f>((((8.9*(1-B12))*(B13))+((7.5*(1-B14))*(14*(1-B15)))+((7.3*(1-B16))*(121*(1-B17)))+(347*(1-B18)))*$B$54)/360</f>
        <v>6.2715333333333341</v>
      </c>
      <c r="N39">
        <f>(((8.9*B13)+(7.5*14)+(7.3*52)+(1*300))*0.89)/360</f>
        <v>4.9100805555555551</v>
      </c>
    </row>
    <row r="40" spans="1:14">
      <c r="A40" s="34" t="s">
        <v>16</v>
      </c>
      <c r="B40" s="66">
        <f>B27+B39</f>
        <v>5905489.2000000002</v>
      </c>
      <c r="C40" s="17"/>
      <c r="D40" s="17"/>
      <c r="E40" s="17"/>
      <c r="F40" s="17"/>
      <c r="G40" s="5"/>
      <c r="H40" s="17"/>
      <c r="I40" s="17"/>
      <c r="J40" s="17"/>
      <c r="K40" s="17"/>
      <c r="L40" s="17"/>
      <c r="M40">
        <f>((14*(1-B12))*(B13))</f>
        <v>1890</v>
      </c>
      <c r="N40">
        <f>(8.9*B13)</f>
        <v>1201.5</v>
      </c>
    </row>
    <row r="41" spans="1:14">
      <c r="A41" s="5" t="s">
        <v>36</v>
      </c>
      <c r="B41" s="75">
        <v>7</v>
      </c>
      <c r="C41" s="75">
        <v>7</v>
      </c>
      <c r="D41" s="75">
        <v>0.5</v>
      </c>
      <c r="E41" s="75">
        <v>0.5</v>
      </c>
      <c r="F41" s="75">
        <f>'Standardized cost in reports'!AA22</f>
        <v>1</v>
      </c>
      <c r="G41" s="76">
        <v>1.5</v>
      </c>
      <c r="H41" s="66">
        <f>'Standardized cost in reports'!G22</f>
        <v>5</v>
      </c>
      <c r="I41" s="66">
        <f>AVERAGE('Standardized cost in reports'!H22,'Standardized cost in reports'!AD22)</f>
        <v>0.55000000000000004</v>
      </c>
      <c r="J41" s="66">
        <f>'Standardized cost in reports'!AE22</f>
        <v>1</v>
      </c>
      <c r="K41" s="66"/>
      <c r="L41" s="17"/>
      <c r="M41">
        <f>((7.5*(1-B14))*(14*(1-B15)))</f>
        <v>105</v>
      </c>
      <c r="N41">
        <f>(7.5*14)</f>
        <v>105</v>
      </c>
    </row>
    <row r="42" spans="1:14">
      <c r="A42" s="5" t="s">
        <v>37</v>
      </c>
      <c r="B42" s="66">
        <v>60</v>
      </c>
      <c r="C42" s="66">
        <v>60</v>
      </c>
      <c r="D42" s="66">
        <v>40</v>
      </c>
      <c r="E42" s="66">
        <v>25</v>
      </c>
      <c r="F42" s="66">
        <v>25</v>
      </c>
      <c r="G42" s="71">
        <v>25</v>
      </c>
      <c r="H42" s="66">
        <f>'Standardized cost in reports'!G23</f>
        <v>80</v>
      </c>
      <c r="I42" s="66">
        <f>AVERAGE('Standardized cost in reports'!H23,'Standardized cost in reports'!AD23)</f>
        <v>10</v>
      </c>
      <c r="J42" s="66">
        <f>'Standardized cost in reports'!AE23</f>
        <v>25</v>
      </c>
      <c r="K42" s="66"/>
      <c r="L42" s="73"/>
      <c r="M42">
        <f>((7.3*(1-B16))*(52*(1-B17)))</f>
        <v>379.59999999999997</v>
      </c>
      <c r="N42">
        <f>(7.3*52)</f>
        <v>379.59999999999997</v>
      </c>
    </row>
    <row r="43" spans="1:14">
      <c r="A43" s="5"/>
      <c r="B43" s="17"/>
      <c r="C43" s="17"/>
      <c r="D43" s="17"/>
      <c r="E43" s="17"/>
      <c r="F43" s="17"/>
      <c r="G43" s="5"/>
      <c r="H43" s="17"/>
      <c r="I43" s="17"/>
      <c r="J43" s="17"/>
      <c r="K43" s="17"/>
      <c r="L43" s="73"/>
      <c r="M43">
        <f>(300*(1-B18))</f>
        <v>300</v>
      </c>
      <c r="N43">
        <f>(1*300)</f>
        <v>300</v>
      </c>
    </row>
    <row r="44" spans="1:14">
      <c r="A44" s="5"/>
      <c r="B44" s="69"/>
      <c r="C44" s="17"/>
      <c r="D44" s="17"/>
      <c r="E44" s="17"/>
      <c r="F44" s="17"/>
      <c r="G44" s="5"/>
      <c r="H44" s="17"/>
      <c r="I44" s="17"/>
      <c r="J44" s="17"/>
      <c r="K44" s="17"/>
      <c r="L44" s="73"/>
      <c r="M44">
        <f>((8.9*(1-B12))*(B13))+((7.5*(1-B14))*(14*(1-B15)))+((7.3*(1-B16))*(52*(1-B17)))+(300*(1-B18))</f>
        <v>1986.1</v>
      </c>
      <c r="N44">
        <f>((8.9*B13)+(7.5*14)+(7.3*52)+(1*300))</f>
        <v>1986.1</v>
      </c>
    </row>
    <row r="45" spans="1:14">
      <c r="A45" s="5"/>
      <c r="B45" s="77">
        <f>B30/B27</f>
        <v>1.7331333024874551E-2</v>
      </c>
      <c r="C45" s="77"/>
      <c r="D45" s="77">
        <f>D30/D27</f>
        <v>1.4999999999999999E-2</v>
      </c>
      <c r="E45" s="77">
        <f>E30/E27</f>
        <v>1.4999999999999999E-2</v>
      </c>
      <c r="F45" s="17">
        <f>F30/F27</f>
        <v>2.5000000000000001E-2</v>
      </c>
      <c r="G45" s="17">
        <f>G30/G27</f>
        <v>3.2000000000000001E-2</v>
      </c>
      <c r="H45" s="17"/>
      <c r="I45" s="17"/>
      <c r="J45" s="17"/>
      <c r="K45" s="17"/>
      <c r="L45" s="17"/>
      <c r="M45">
        <f>(((8.9*(1-B12))*(B13))+((7.5*(1-B14))*(14*(1-B15)))+((7.3*(1-B16))*(52*(1-B17)))+(300*(1-B18)))*0.89</f>
        <v>1767.6289999999999</v>
      </c>
      <c r="N45">
        <f>((8.9*B13)+(7.5*14)+(7.3*52)+(1*300))*0.89</f>
        <v>1767.6289999999999</v>
      </c>
    </row>
    <row r="46" spans="1:14">
      <c r="A46" s="5"/>
      <c r="B46" s="17"/>
      <c r="C46" s="17"/>
      <c r="D46" s="17"/>
      <c r="E46" s="17"/>
      <c r="F46" s="17"/>
      <c r="G46" s="5"/>
      <c r="H46" s="17"/>
      <c r="I46" s="17"/>
      <c r="J46" s="17"/>
      <c r="K46" s="17"/>
      <c r="L46" s="17"/>
    </row>
    <row r="47" spans="1:14">
      <c r="A47" s="5"/>
      <c r="B47" s="17"/>
      <c r="C47" s="17"/>
      <c r="D47" s="17"/>
      <c r="E47" s="17"/>
      <c r="F47" s="17"/>
      <c r="G47" s="5"/>
      <c r="H47" s="17"/>
      <c r="I47" s="17"/>
      <c r="J47" s="17"/>
      <c r="K47" s="17"/>
      <c r="L47" s="17"/>
    </row>
    <row r="48" spans="1:14">
      <c r="A48" s="67" t="s">
        <v>136</v>
      </c>
      <c r="B48" s="17"/>
      <c r="C48" s="17"/>
      <c r="D48" s="17"/>
      <c r="E48" s="17"/>
      <c r="F48" s="17"/>
      <c r="G48" s="5"/>
      <c r="H48" s="17"/>
      <c r="I48" s="17"/>
      <c r="J48" s="17"/>
      <c r="K48" s="17"/>
      <c r="L48" s="17"/>
    </row>
    <row r="49" spans="1:12">
      <c r="A49" s="68" t="s">
        <v>140</v>
      </c>
      <c r="B49" s="17">
        <v>100</v>
      </c>
      <c r="C49" s="17"/>
      <c r="D49" s="17">
        <v>100</v>
      </c>
      <c r="E49" s="17">
        <v>100</v>
      </c>
      <c r="F49" s="17">
        <v>100</v>
      </c>
      <c r="G49" s="17">
        <v>100</v>
      </c>
      <c r="H49" s="17"/>
      <c r="I49" s="17"/>
      <c r="J49" s="17"/>
      <c r="K49" s="17"/>
      <c r="L49" s="17"/>
    </row>
    <row r="50" spans="1:12">
      <c r="A50" s="68" t="s">
        <v>157</v>
      </c>
      <c r="B50" s="69">
        <f>(B51*10^6)/B52</f>
        <v>8.3746283581041581E-2</v>
      </c>
      <c r="C50" s="69"/>
      <c r="D50" s="17"/>
      <c r="E50" s="17"/>
      <c r="F50" s="17"/>
      <c r="G50" s="5"/>
      <c r="H50" s="17"/>
      <c r="I50" s="17"/>
      <c r="J50" s="17"/>
      <c r="K50" s="17"/>
      <c r="L50" s="17"/>
    </row>
    <row r="51" spans="1:12">
      <c r="A51" s="68" t="s">
        <v>208</v>
      </c>
      <c r="B51" s="17">
        <v>9.9600000000000009</v>
      </c>
      <c r="C51" s="17"/>
      <c r="D51" s="17"/>
      <c r="E51" s="17"/>
      <c r="F51" s="17"/>
      <c r="G51" s="5"/>
      <c r="H51" s="17"/>
      <c r="I51" s="17"/>
      <c r="J51" s="17"/>
      <c r="K51" s="17"/>
      <c r="L51" s="17"/>
    </row>
    <row r="52" spans="1:12">
      <c r="A52" s="68" t="s">
        <v>207</v>
      </c>
      <c r="B52" s="17">
        <f>(542.3-114.15)*277778</f>
        <v>118930650.69999999</v>
      </c>
      <c r="C52" s="17"/>
      <c r="D52" s="17"/>
      <c r="E52" s="17"/>
      <c r="F52" s="17"/>
      <c r="G52" s="5"/>
      <c r="H52" s="17"/>
      <c r="I52" s="17"/>
      <c r="J52" s="17"/>
      <c r="K52" s="17"/>
      <c r="L52" s="17"/>
    </row>
    <row r="53" spans="1:12">
      <c r="A53" s="5" t="s">
        <v>211</v>
      </c>
      <c r="B53" s="17">
        <f>4*1.5/1000</f>
        <v>6.0000000000000001E-3</v>
      </c>
      <c r="C53" s="17"/>
      <c r="D53" s="17">
        <f>6*1.5/1000</f>
        <v>8.9999999999999993E-3</v>
      </c>
      <c r="E53" s="17">
        <f>6*1.5/1000</f>
        <v>8.9999999999999993E-3</v>
      </c>
      <c r="F53" s="17">
        <f>4*1.5/1000</f>
        <v>6.0000000000000001E-3</v>
      </c>
      <c r="G53" s="5">
        <f>4*1.5*1.3/1000</f>
        <v>7.8000000000000005E-3</v>
      </c>
      <c r="H53" s="17"/>
      <c r="I53" s="17"/>
      <c r="J53" s="17"/>
      <c r="K53" s="17"/>
      <c r="L53" s="17"/>
    </row>
    <row r="54" spans="1:12">
      <c r="A54" s="68" t="s">
        <v>225</v>
      </c>
      <c r="B54" s="17">
        <v>0.89</v>
      </c>
      <c r="C54" s="78"/>
      <c r="D54" s="17"/>
      <c r="E54" s="17"/>
      <c r="F54" s="5"/>
      <c r="G54" s="17"/>
      <c r="H54" s="17"/>
      <c r="I54" s="17"/>
      <c r="J54" s="17"/>
      <c r="K54" s="17"/>
    </row>
  </sheetData>
  <pageMargins left="0.7" right="0.7" top="0.75" bottom="0.75" header="0.3" footer="0.3"/>
  <pageSetup paperSize="9" orientation="portrait" horizontalDpi="0"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7"/>
  <sheetViews>
    <sheetView zoomScale="98" workbookViewId="0">
      <selection activeCell="B26" sqref="B26"/>
    </sheetView>
  </sheetViews>
  <sheetFormatPr baseColWidth="10" defaultRowHeight="16"/>
  <cols>
    <col min="1" max="1" width="36.33203125" style="4" bestFit="1" customWidth="1"/>
    <col min="5" max="5" width="10.83203125" style="2"/>
    <col min="11" max="11" width="10.83203125" style="4" customWidth="1"/>
    <col min="15" max="15" width="10.83203125" style="4"/>
    <col min="19" max="19" width="10.83203125" style="4"/>
    <col min="20" max="23" width="10.83203125" style="2"/>
    <col min="30" max="30" width="11.83203125" bestFit="1" customWidth="1"/>
  </cols>
  <sheetData>
    <row r="1" spans="1:30">
      <c r="A1" s="2"/>
      <c r="B1" s="115" t="s">
        <v>22</v>
      </c>
      <c r="C1" s="116"/>
      <c r="D1" s="116"/>
      <c r="E1" s="116"/>
      <c r="H1" s="115" t="s">
        <v>28</v>
      </c>
      <c r="I1" s="116"/>
      <c r="J1" s="116"/>
      <c r="K1" s="117"/>
      <c r="L1" s="115" t="s">
        <v>31</v>
      </c>
      <c r="M1" s="116"/>
      <c r="N1" s="116"/>
      <c r="O1" s="117"/>
      <c r="P1" s="115" t="s">
        <v>34</v>
      </c>
      <c r="Q1" s="116"/>
      <c r="R1" s="116"/>
      <c r="S1" s="117"/>
      <c r="T1" s="115" t="s">
        <v>100</v>
      </c>
      <c r="U1" s="116"/>
      <c r="V1" s="116"/>
      <c r="W1" s="117"/>
      <c r="X1" s="50" t="s">
        <v>35</v>
      </c>
      <c r="Y1" s="50"/>
      <c r="Z1" s="50"/>
      <c r="AA1" s="50"/>
      <c r="AB1" s="2"/>
    </row>
    <row r="2" spans="1:30">
      <c r="A2" s="3" t="s">
        <v>9</v>
      </c>
      <c r="B2" s="2" t="s">
        <v>1</v>
      </c>
      <c r="C2" s="2" t="s">
        <v>2</v>
      </c>
      <c r="D2" s="2" t="s">
        <v>3</v>
      </c>
      <c r="E2" s="2" t="s">
        <v>4</v>
      </c>
      <c r="F2" s="5" t="s">
        <v>82</v>
      </c>
      <c r="G2" s="5" t="s">
        <v>81</v>
      </c>
      <c r="H2" t="s">
        <v>28</v>
      </c>
      <c r="I2" t="s">
        <v>2</v>
      </c>
      <c r="J2" t="s">
        <v>3</v>
      </c>
      <c r="K2" s="4" t="s">
        <v>4</v>
      </c>
      <c r="L2" t="s">
        <v>1</v>
      </c>
      <c r="M2" t="s">
        <v>2</v>
      </c>
      <c r="N2" t="s">
        <v>3</v>
      </c>
      <c r="O2" s="4" t="s">
        <v>4</v>
      </c>
      <c r="P2" t="s">
        <v>1</v>
      </c>
      <c r="Q2" t="s">
        <v>2</v>
      </c>
      <c r="R2" t="s">
        <v>3</v>
      </c>
      <c r="S2" s="4" t="s">
        <v>4</v>
      </c>
      <c r="T2" s="2" t="s">
        <v>1</v>
      </c>
      <c r="U2" s="2" t="s">
        <v>2</v>
      </c>
      <c r="V2" s="2" t="s">
        <v>3</v>
      </c>
      <c r="W2" s="4" t="s">
        <v>4</v>
      </c>
      <c r="X2" t="s">
        <v>1</v>
      </c>
      <c r="Y2" t="s">
        <v>2</v>
      </c>
      <c r="Z2" t="s">
        <v>3</v>
      </c>
      <c r="AA2" s="2" t="s">
        <v>4</v>
      </c>
      <c r="AB2" s="5" t="s">
        <v>82</v>
      </c>
      <c r="AC2" s="5" t="s">
        <v>81</v>
      </c>
      <c r="AD2" s="5" t="s">
        <v>83</v>
      </c>
    </row>
    <row r="3" spans="1:30">
      <c r="A3" s="4" t="s">
        <v>10</v>
      </c>
      <c r="B3" s="9"/>
      <c r="C3" s="10"/>
      <c r="D3" s="9"/>
      <c r="E3" s="9"/>
      <c r="F3" s="9"/>
      <c r="G3" s="9"/>
      <c r="H3" s="10"/>
      <c r="I3" s="10"/>
      <c r="J3" s="10"/>
      <c r="K3" s="11"/>
      <c r="L3" s="14"/>
      <c r="M3" s="14"/>
      <c r="N3" s="14"/>
      <c r="O3" s="15"/>
      <c r="P3" s="20"/>
      <c r="Q3" s="20"/>
      <c r="R3" s="20"/>
      <c r="S3" s="21"/>
      <c r="T3" s="23"/>
      <c r="U3" s="23"/>
      <c r="V3" s="23"/>
      <c r="W3" s="24"/>
      <c r="X3" s="10"/>
      <c r="Y3" s="10"/>
      <c r="Z3" s="10"/>
      <c r="AA3" s="10"/>
      <c r="AB3" s="14"/>
      <c r="AC3" s="10"/>
      <c r="AD3" s="10"/>
    </row>
    <row r="4" spans="1:30">
      <c r="A4" s="4" t="s">
        <v>11</v>
      </c>
      <c r="B4" s="22"/>
      <c r="C4" s="9"/>
      <c r="D4" s="9"/>
      <c r="E4" s="9"/>
      <c r="F4" s="45"/>
      <c r="G4" s="45"/>
      <c r="H4" s="14"/>
      <c r="I4" s="14"/>
      <c r="J4" s="14"/>
      <c r="K4" s="15"/>
      <c r="L4" s="14"/>
      <c r="M4" s="14"/>
      <c r="N4" s="14"/>
      <c r="O4" s="15"/>
      <c r="P4" s="18"/>
      <c r="Q4" s="18"/>
      <c r="R4" s="18"/>
      <c r="S4" s="19"/>
      <c r="T4" s="25"/>
      <c r="U4" s="25"/>
      <c r="V4" s="25"/>
      <c r="W4" s="19"/>
      <c r="X4" s="10"/>
      <c r="Y4" s="10"/>
      <c r="Z4" s="10"/>
      <c r="AA4" s="10"/>
      <c r="AB4" s="14"/>
      <c r="AC4" s="10"/>
      <c r="AD4" s="45"/>
    </row>
    <row r="5" spans="1:30">
      <c r="A5" s="4" t="s">
        <v>12</v>
      </c>
      <c r="B5" s="9"/>
      <c r="C5" s="9"/>
      <c r="D5" s="9"/>
      <c r="E5" s="9"/>
      <c r="F5" s="10"/>
      <c r="G5" s="10"/>
      <c r="H5" s="12"/>
      <c r="I5" s="12"/>
      <c r="J5" s="12"/>
      <c r="K5" s="13"/>
      <c r="L5" s="14"/>
      <c r="M5" s="14"/>
      <c r="N5" s="14"/>
      <c r="O5" s="15"/>
      <c r="P5" s="10"/>
      <c r="Q5" s="10"/>
      <c r="R5" s="10"/>
      <c r="S5" s="10"/>
      <c r="T5" s="9"/>
      <c r="U5" s="9"/>
      <c r="V5" s="9"/>
      <c r="W5" s="11"/>
      <c r="X5" s="10"/>
      <c r="Y5" s="10"/>
      <c r="Z5" s="10"/>
      <c r="AA5" s="10"/>
      <c r="AB5" s="14"/>
      <c r="AC5" s="10"/>
      <c r="AD5" s="10"/>
    </row>
    <row r="6" spans="1:30">
      <c r="A6" s="4" t="s">
        <v>13</v>
      </c>
      <c r="B6" s="16"/>
      <c r="C6" s="16"/>
      <c r="D6" s="16"/>
      <c r="E6" s="16"/>
      <c r="F6" s="14"/>
      <c r="G6" s="14"/>
      <c r="H6" s="14"/>
      <c r="I6" s="16"/>
      <c r="J6" s="16"/>
      <c r="K6" s="15"/>
      <c r="L6" s="14"/>
      <c r="M6" s="16"/>
      <c r="N6" s="16"/>
      <c r="O6" s="15"/>
      <c r="P6" s="14"/>
      <c r="Q6" s="16"/>
      <c r="R6" s="16"/>
      <c r="S6" s="15"/>
      <c r="T6" s="16"/>
      <c r="U6" s="16"/>
      <c r="V6" s="16"/>
      <c r="W6" s="15"/>
      <c r="X6" s="10"/>
      <c r="Y6" s="10"/>
      <c r="Z6" s="10"/>
      <c r="AA6" s="10"/>
      <c r="AB6" s="14"/>
      <c r="AC6" s="10"/>
      <c r="AD6" s="10"/>
    </row>
    <row r="7" spans="1:30">
      <c r="B7" s="2"/>
      <c r="C7" s="2"/>
      <c r="D7" s="2"/>
      <c r="W7" s="4"/>
    </row>
    <row r="8" spans="1:30">
      <c r="A8" s="3" t="s">
        <v>14</v>
      </c>
      <c r="B8" s="2"/>
      <c r="C8" s="2"/>
      <c r="D8" s="2"/>
      <c r="I8" s="2"/>
      <c r="J8" s="2"/>
      <c r="M8" s="2"/>
      <c r="N8" s="2"/>
      <c r="Q8" s="2"/>
      <c r="R8" s="2"/>
      <c r="W8" s="4"/>
    </row>
    <row r="9" spans="1:30">
      <c r="A9" s="4" t="s">
        <v>23</v>
      </c>
      <c r="B9" s="9"/>
      <c r="C9" s="9"/>
      <c r="D9" s="9"/>
      <c r="E9" s="9"/>
      <c r="F9" s="9"/>
      <c r="G9" s="10"/>
      <c r="H9" s="10"/>
      <c r="I9" s="9"/>
      <c r="J9" s="9"/>
      <c r="K9" s="11"/>
      <c r="L9" s="10"/>
      <c r="M9" s="16"/>
      <c r="N9" s="16"/>
      <c r="O9" s="15"/>
      <c r="P9" s="14"/>
      <c r="Q9" s="16"/>
      <c r="R9" s="16"/>
      <c r="S9" s="15"/>
      <c r="T9" s="9"/>
      <c r="U9" s="9"/>
      <c r="V9" s="9"/>
      <c r="W9" s="11"/>
      <c r="X9" s="10"/>
      <c r="Y9" s="10"/>
      <c r="Z9" s="10"/>
      <c r="AA9" s="10"/>
      <c r="AB9" s="14"/>
      <c r="AC9" s="10"/>
      <c r="AD9" s="49"/>
    </row>
    <row r="10" spans="1:30">
      <c r="A10" s="4" t="s">
        <v>78</v>
      </c>
      <c r="B10" s="23"/>
      <c r="C10" s="23"/>
      <c r="D10" s="23"/>
      <c r="E10" s="23"/>
      <c r="F10" s="23"/>
      <c r="G10" s="23"/>
      <c r="H10" s="46"/>
      <c r="I10" s="47"/>
      <c r="J10" s="47"/>
      <c r="K10" s="48"/>
      <c r="L10" s="18"/>
      <c r="M10" s="25"/>
      <c r="N10" s="25"/>
      <c r="O10" s="19"/>
      <c r="P10" s="18"/>
      <c r="Q10" s="25"/>
      <c r="R10" s="25"/>
      <c r="S10" s="19"/>
      <c r="T10" s="25"/>
      <c r="U10" s="25"/>
      <c r="V10" s="25"/>
      <c r="W10" s="19"/>
      <c r="X10" s="10"/>
      <c r="Y10" s="10"/>
      <c r="Z10" s="10"/>
      <c r="AA10" s="10"/>
      <c r="AB10" s="14"/>
      <c r="AC10" s="45"/>
      <c r="AD10" s="10"/>
    </row>
    <row r="11" spans="1:30">
      <c r="A11" s="4" t="s">
        <v>26</v>
      </c>
      <c r="B11" s="9"/>
      <c r="C11" s="9"/>
      <c r="D11" s="9"/>
      <c r="E11" s="9"/>
      <c r="F11" s="9"/>
      <c r="G11" s="9"/>
      <c r="H11" s="14"/>
      <c r="I11" s="12"/>
      <c r="J11" s="12"/>
      <c r="K11" s="15"/>
      <c r="L11" s="10"/>
      <c r="M11" s="14"/>
      <c r="N11" s="14"/>
      <c r="O11" s="15"/>
      <c r="P11" s="10"/>
      <c r="Q11" s="14"/>
      <c r="R11" s="14"/>
      <c r="S11" s="15"/>
      <c r="T11" s="9"/>
      <c r="U11" s="9"/>
      <c r="V11" s="9"/>
      <c r="W11" s="11"/>
      <c r="X11" s="10"/>
      <c r="Y11" s="10"/>
      <c r="Z11" s="10"/>
      <c r="AA11" s="10"/>
      <c r="AB11" s="14"/>
      <c r="AC11" s="10"/>
      <c r="AD11" s="10"/>
    </row>
    <row r="12" spans="1:30">
      <c r="A12" s="4" t="s">
        <v>27</v>
      </c>
      <c r="B12" s="9"/>
      <c r="C12" s="9"/>
      <c r="D12" s="9"/>
      <c r="E12" s="9"/>
      <c r="F12" s="9"/>
      <c r="G12" s="9"/>
      <c r="H12" s="14"/>
      <c r="I12" s="12"/>
      <c r="J12" s="12"/>
      <c r="K12" s="15"/>
      <c r="L12" s="14"/>
      <c r="M12" s="14"/>
      <c r="N12" s="14"/>
      <c r="O12" s="15"/>
      <c r="P12" s="10"/>
      <c r="Q12" s="14"/>
      <c r="R12" s="14"/>
      <c r="S12" s="15"/>
      <c r="T12" s="9"/>
      <c r="U12" s="9"/>
      <c r="V12" s="9"/>
      <c r="W12" s="11"/>
      <c r="X12" s="10"/>
      <c r="Y12" s="10"/>
      <c r="Z12" s="10"/>
      <c r="AA12" s="10"/>
      <c r="AB12" s="14"/>
      <c r="AC12" s="10"/>
      <c r="AD12" s="10"/>
    </row>
    <row r="13" spans="1:30">
      <c r="A13" s="29" t="s">
        <v>0</v>
      </c>
      <c r="B13" s="9"/>
      <c r="C13" s="9"/>
      <c r="D13" s="9"/>
      <c r="E13" s="9"/>
      <c r="F13" s="9"/>
      <c r="G13" s="10"/>
      <c r="K13"/>
      <c r="O13"/>
      <c r="S13"/>
      <c r="T13" s="9"/>
      <c r="U13" s="9"/>
      <c r="V13" s="9"/>
      <c r="W13" s="11"/>
      <c r="X13" s="14"/>
      <c r="Y13" s="14"/>
      <c r="Z13" s="14"/>
      <c r="AA13" s="14"/>
      <c r="AB13" s="14"/>
      <c r="AC13" s="14"/>
      <c r="AD13" s="14"/>
    </row>
    <row r="14" spans="1:30">
      <c r="A14" s="4" t="s">
        <v>80</v>
      </c>
      <c r="B14" s="20"/>
      <c r="C14" s="12"/>
      <c r="D14" s="12"/>
      <c r="E14" s="30"/>
      <c r="F14" s="12"/>
      <c r="G14" s="12"/>
      <c r="H14" s="10"/>
      <c r="I14" s="10"/>
      <c r="J14" s="10"/>
      <c r="K14" s="11"/>
      <c r="L14" s="14"/>
      <c r="M14" s="14"/>
      <c r="N14" s="14"/>
      <c r="O14" s="15"/>
      <c r="P14" s="12"/>
      <c r="Q14" s="12"/>
      <c r="R14" s="12"/>
      <c r="S14" s="13"/>
      <c r="T14" s="16"/>
      <c r="U14" s="16"/>
      <c r="V14" s="16"/>
      <c r="W14" s="15"/>
      <c r="X14" s="14"/>
      <c r="Y14" s="14"/>
      <c r="Z14" s="14"/>
      <c r="AA14" s="14"/>
      <c r="AB14" s="14"/>
      <c r="AC14" s="14"/>
      <c r="AD14" s="14"/>
    </row>
    <row r="15" spans="1:30">
      <c r="A15" s="4" t="s">
        <v>18</v>
      </c>
      <c r="B15" s="14"/>
      <c r="C15" s="14"/>
      <c r="D15" s="14"/>
      <c r="E15" s="16"/>
      <c r="F15" s="14"/>
      <c r="G15" s="14"/>
      <c r="H15" s="12"/>
      <c r="I15" s="14"/>
      <c r="J15" s="14"/>
      <c r="K15" s="15"/>
      <c r="L15" s="10"/>
      <c r="M15" s="14"/>
      <c r="N15" s="14"/>
      <c r="O15" s="15"/>
      <c r="P15" s="10"/>
      <c r="Q15" s="14"/>
      <c r="R15" s="14"/>
      <c r="S15" s="15"/>
      <c r="T15" s="16"/>
      <c r="U15" s="16"/>
      <c r="V15" s="16"/>
      <c r="W15" s="15"/>
      <c r="X15" s="14"/>
      <c r="Y15" s="14"/>
      <c r="Z15" s="14"/>
      <c r="AA15" s="14"/>
      <c r="AB15" s="14"/>
      <c r="AC15" s="14"/>
      <c r="AD15" s="14"/>
    </row>
    <row r="16" spans="1:30">
      <c r="A16" s="4" t="s">
        <v>19</v>
      </c>
      <c r="B16" s="14"/>
      <c r="C16" s="14"/>
      <c r="D16" s="14"/>
      <c r="E16" s="16"/>
      <c r="F16" s="14"/>
      <c r="G16" s="14"/>
      <c r="H16" s="14"/>
      <c r="I16" s="12"/>
      <c r="J16" s="14"/>
      <c r="K16" s="15"/>
      <c r="L16" s="10"/>
      <c r="M16" s="14"/>
      <c r="N16" s="14"/>
      <c r="O16" s="15"/>
      <c r="P16" s="10"/>
      <c r="Q16" s="14"/>
      <c r="R16" s="14"/>
      <c r="S16" s="15"/>
      <c r="T16" s="16"/>
      <c r="U16" s="16"/>
      <c r="V16" s="16"/>
      <c r="W16" s="15"/>
      <c r="X16" s="10"/>
      <c r="Y16" s="10"/>
      <c r="Z16" s="10"/>
      <c r="AA16" s="10"/>
      <c r="AB16" s="14"/>
      <c r="AC16" s="10"/>
      <c r="AD16" s="10"/>
    </row>
    <row r="17" spans="1:30">
      <c r="A17" s="4" t="s">
        <v>20</v>
      </c>
      <c r="B17" s="12"/>
      <c r="C17" s="12"/>
      <c r="D17" s="12"/>
      <c r="E17" s="30"/>
      <c r="F17" s="12"/>
      <c r="G17" s="12"/>
      <c r="H17" s="12"/>
      <c r="I17" s="12"/>
      <c r="J17" s="12"/>
      <c r="K17" s="13"/>
      <c r="L17" s="14"/>
      <c r="M17" s="14"/>
      <c r="N17" s="14"/>
      <c r="O17" s="15"/>
      <c r="P17" s="12"/>
      <c r="Q17" s="14"/>
      <c r="R17" s="14"/>
      <c r="S17" s="15"/>
      <c r="T17" s="16"/>
      <c r="U17" s="16"/>
      <c r="V17" s="16"/>
      <c r="W17" s="15"/>
      <c r="X17" s="14"/>
      <c r="Y17" s="14"/>
      <c r="Z17" s="14"/>
      <c r="AA17" s="14"/>
      <c r="AB17" s="14"/>
      <c r="AC17" s="14"/>
      <c r="AD17" s="14"/>
    </row>
    <row r="18" spans="1:30">
      <c r="T18" s="5"/>
      <c r="U18" s="5"/>
      <c r="V18" s="5"/>
      <c r="W18" s="29"/>
    </row>
    <row r="19" spans="1:30">
      <c r="A19" s="3" t="s">
        <v>16</v>
      </c>
      <c r="T19" s="5"/>
      <c r="U19" s="5"/>
      <c r="V19" s="5"/>
      <c r="W19" s="29"/>
    </row>
    <row r="20" spans="1:30">
      <c r="A20" s="4" t="s">
        <v>17</v>
      </c>
      <c r="B20" s="14"/>
      <c r="C20" s="14"/>
      <c r="D20" s="14"/>
      <c r="E20" s="16"/>
      <c r="F20" s="14"/>
      <c r="G20" s="14"/>
      <c r="H20" s="12"/>
      <c r="I20" s="12"/>
      <c r="J20" s="12"/>
      <c r="K20" s="13"/>
      <c r="L20" s="14"/>
      <c r="M20" s="14"/>
      <c r="N20" s="14"/>
      <c r="O20" s="15"/>
      <c r="P20" s="14"/>
      <c r="Q20" s="14"/>
      <c r="R20" s="14"/>
      <c r="S20" s="15"/>
      <c r="T20" s="16"/>
      <c r="U20" s="16"/>
      <c r="V20" s="16"/>
      <c r="W20" s="15"/>
      <c r="X20" s="10"/>
      <c r="Y20" s="10"/>
      <c r="Z20" s="10"/>
      <c r="AA20" s="10"/>
      <c r="AB20" s="14"/>
      <c r="AC20" s="10"/>
      <c r="AD20" s="10"/>
    </row>
    <row r="21" spans="1:30">
      <c r="A21" s="4" t="s">
        <v>36</v>
      </c>
      <c r="B21" s="10"/>
      <c r="C21" s="10"/>
      <c r="D21" s="10"/>
      <c r="E21" s="9"/>
      <c r="F21" s="9"/>
      <c r="G21" s="9"/>
      <c r="H21" s="14"/>
      <c r="I21" s="14"/>
      <c r="J21" s="14"/>
      <c r="K21" s="15"/>
      <c r="L21" s="10"/>
      <c r="M21" s="14"/>
      <c r="N21" s="14"/>
      <c r="O21" s="15"/>
      <c r="P21" s="10"/>
      <c r="Q21" s="14"/>
      <c r="R21" s="14"/>
      <c r="S21" s="15"/>
      <c r="T21" s="9"/>
      <c r="U21" s="9"/>
      <c r="V21" s="9"/>
      <c r="W21" s="11"/>
      <c r="X21" s="10"/>
      <c r="Y21" s="10"/>
      <c r="Z21" s="10"/>
      <c r="AA21" s="10"/>
      <c r="AB21" s="14"/>
      <c r="AC21" s="10"/>
      <c r="AD21" s="10"/>
    </row>
    <row r="22" spans="1:30">
      <c r="A22" s="4" t="s">
        <v>37</v>
      </c>
      <c r="B22" s="10"/>
      <c r="C22" s="10"/>
      <c r="D22" s="10"/>
      <c r="E22" s="9"/>
      <c r="F22" s="9"/>
      <c r="G22" s="9"/>
      <c r="H22" s="14"/>
      <c r="I22" s="14"/>
      <c r="J22" s="14"/>
      <c r="K22" s="15"/>
      <c r="L22" s="14"/>
      <c r="M22" s="14"/>
      <c r="N22" s="14"/>
      <c r="O22" s="15"/>
      <c r="P22" s="10"/>
      <c r="Q22" s="14"/>
      <c r="R22" s="14"/>
      <c r="S22" s="15"/>
      <c r="T22" s="9"/>
      <c r="U22" s="9"/>
      <c r="V22" s="9"/>
      <c r="W22" s="11"/>
      <c r="X22" s="10"/>
      <c r="Y22" s="10"/>
      <c r="Z22" s="10"/>
      <c r="AA22" s="10"/>
      <c r="AB22" s="14"/>
      <c r="AC22" s="10"/>
      <c r="AD22" s="10"/>
    </row>
    <row r="23" spans="1:30">
      <c r="A23" s="8"/>
    </row>
    <row r="25" spans="1:30">
      <c r="A25" s="4" t="s">
        <v>5</v>
      </c>
      <c r="B25" t="s">
        <v>7</v>
      </c>
      <c r="H25" t="s">
        <v>29</v>
      </c>
      <c r="L25" t="s">
        <v>32</v>
      </c>
    </row>
    <row r="26" spans="1:30">
      <c r="A26" s="4" t="s">
        <v>6</v>
      </c>
      <c r="B26" t="s">
        <v>8</v>
      </c>
      <c r="H26" t="s">
        <v>30</v>
      </c>
      <c r="L26" s="17" t="s">
        <v>33</v>
      </c>
      <c r="P26" t="s">
        <v>46</v>
      </c>
    </row>
    <row r="27" spans="1:30">
      <c r="A27" s="4" t="s">
        <v>24</v>
      </c>
      <c r="B27" t="s">
        <v>25</v>
      </c>
    </row>
  </sheetData>
  <mergeCells count="5">
    <mergeCell ref="B1:E1"/>
    <mergeCell ref="H1:K1"/>
    <mergeCell ref="L1:O1"/>
    <mergeCell ref="P1:S1"/>
    <mergeCell ref="T1:W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34"/>
  <sheetViews>
    <sheetView zoomScale="98" workbookViewId="0">
      <selection activeCell="C7" sqref="C7"/>
    </sheetView>
  </sheetViews>
  <sheetFormatPr baseColWidth="10" defaultRowHeight="16"/>
  <cols>
    <col min="1" max="1" width="10.83203125" style="4"/>
    <col min="5" max="5" width="10.83203125" style="2"/>
    <col min="11" max="11" width="10.83203125" style="4" customWidth="1"/>
    <col min="15" max="15" width="10.83203125" style="4"/>
    <col min="19" max="19" width="10.83203125" style="4"/>
    <col min="20" max="23" width="10.83203125" style="2"/>
    <col min="30" max="30" width="11.83203125" bestFit="1" customWidth="1"/>
  </cols>
  <sheetData>
    <row r="1" spans="1:30">
      <c r="A1" s="2"/>
      <c r="B1" s="115" t="s">
        <v>22</v>
      </c>
      <c r="C1" s="116"/>
      <c r="D1" s="116"/>
      <c r="E1" s="116"/>
      <c r="H1" s="115" t="s">
        <v>28</v>
      </c>
      <c r="I1" s="116"/>
      <c r="J1" s="116"/>
      <c r="K1" s="117"/>
      <c r="L1" s="115" t="s">
        <v>31</v>
      </c>
      <c r="M1" s="116"/>
      <c r="N1" s="116"/>
      <c r="O1" s="117"/>
      <c r="P1" s="115" t="s">
        <v>34</v>
      </c>
      <c r="Q1" s="116"/>
      <c r="R1" s="116"/>
      <c r="S1" s="117"/>
      <c r="T1" s="115" t="s">
        <v>100</v>
      </c>
      <c r="U1" s="116"/>
      <c r="V1" s="116"/>
      <c r="W1" s="117"/>
      <c r="X1" s="50" t="s">
        <v>35</v>
      </c>
      <c r="Y1" s="50"/>
      <c r="Z1" s="50"/>
      <c r="AA1" s="50"/>
      <c r="AB1" s="2"/>
    </row>
    <row r="2" spans="1:30">
      <c r="A2" s="3" t="s">
        <v>9</v>
      </c>
      <c r="B2" s="2" t="s">
        <v>1</v>
      </c>
      <c r="C2" s="2" t="s">
        <v>2</v>
      </c>
      <c r="D2" s="2" t="s">
        <v>3</v>
      </c>
      <c r="E2" s="2" t="s">
        <v>4</v>
      </c>
      <c r="F2" s="5" t="s">
        <v>82</v>
      </c>
      <c r="G2" s="5" t="s">
        <v>81</v>
      </c>
      <c r="H2" t="s">
        <v>28</v>
      </c>
      <c r="I2" t="s">
        <v>2</v>
      </c>
      <c r="J2" t="s">
        <v>3</v>
      </c>
      <c r="K2" s="4" t="s">
        <v>4</v>
      </c>
      <c r="L2" t="s">
        <v>1</v>
      </c>
      <c r="M2" t="s">
        <v>2</v>
      </c>
      <c r="N2" t="s">
        <v>3</v>
      </c>
      <c r="O2" s="4" t="s">
        <v>4</v>
      </c>
      <c r="P2" t="s">
        <v>1</v>
      </c>
      <c r="Q2" t="s">
        <v>2</v>
      </c>
      <c r="R2" t="s">
        <v>3</v>
      </c>
      <c r="S2" s="4" t="s">
        <v>4</v>
      </c>
      <c r="T2" s="2" t="s">
        <v>1</v>
      </c>
      <c r="U2" s="2" t="s">
        <v>2</v>
      </c>
      <c r="V2" s="2" t="s">
        <v>3</v>
      </c>
      <c r="W2" s="4" t="s">
        <v>4</v>
      </c>
      <c r="X2" t="s">
        <v>1</v>
      </c>
      <c r="Y2" t="s">
        <v>2</v>
      </c>
      <c r="Z2" t="s">
        <v>3</v>
      </c>
      <c r="AA2" s="2" t="s">
        <v>4</v>
      </c>
      <c r="AB2" s="5" t="s">
        <v>82</v>
      </c>
      <c r="AC2" s="5" t="s">
        <v>81</v>
      </c>
      <c r="AD2" s="5" t="s">
        <v>83</v>
      </c>
    </row>
    <row r="3" spans="1:30">
      <c r="A3" s="4" t="s">
        <v>10</v>
      </c>
      <c r="B3" s="9" t="s">
        <v>77</v>
      </c>
      <c r="C3" s="10" t="s">
        <v>87</v>
      </c>
      <c r="D3" s="9" t="s">
        <v>86</v>
      </c>
      <c r="E3" s="9" t="s">
        <v>85</v>
      </c>
      <c r="F3" s="9" t="s">
        <v>84</v>
      </c>
      <c r="G3" s="9" t="s">
        <v>84</v>
      </c>
      <c r="H3" s="10" t="s">
        <v>47</v>
      </c>
      <c r="I3" s="10" t="s">
        <v>48</v>
      </c>
      <c r="J3" s="10" t="s">
        <v>49</v>
      </c>
      <c r="K3" s="11" t="s">
        <v>50</v>
      </c>
      <c r="L3" s="14"/>
      <c r="M3" s="14"/>
      <c r="N3" s="14"/>
      <c r="O3" s="15"/>
      <c r="P3" s="20"/>
      <c r="Q3" s="20"/>
      <c r="R3" s="20"/>
      <c r="S3" s="21"/>
      <c r="T3" s="23">
        <v>2200</v>
      </c>
      <c r="U3" s="23">
        <v>100</v>
      </c>
      <c r="V3" s="23">
        <v>150</v>
      </c>
      <c r="W3" s="24" t="s">
        <v>112</v>
      </c>
      <c r="X3" s="10" t="s">
        <v>62</v>
      </c>
      <c r="Y3" s="10">
        <v>20</v>
      </c>
      <c r="Z3" s="10" t="s">
        <v>70</v>
      </c>
      <c r="AA3" s="10" t="s">
        <v>70</v>
      </c>
      <c r="AB3" s="14"/>
      <c r="AC3" s="10" t="s">
        <v>142</v>
      </c>
      <c r="AD3" s="10" t="s">
        <v>94</v>
      </c>
    </row>
    <row r="4" spans="1:30">
      <c r="A4" s="4" t="s">
        <v>11</v>
      </c>
      <c r="B4" s="22">
        <v>0.33</v>
      </c>
      <c r="C4" s="9"/>
      <c r="D4" s="9"/>
      <c r="E4" s="9"/>
      <c r="F4" s="45"/>
      <c r="G4" s="45">
        <v>0.9</v>
      </c>
      <c r="H4" s="14"/>
      <c r="I4" s="14"/>
      <c r="J4" s="14"/>
      <c r="K4" s="15"/>
      <c r="L4" s="14"/>
      <c r="M4" s="14"/>
      <c r="N4" s="14"/>
      <c r="O4" s="15"/>
      <c r="P4" s="18"/>
      <c r="Q4" s="18"/>
      <c r="R4" s="18"/>
      <c r="S4" s="19"/>
      <c r="T4" s="25"/>
      <c r="U4" s="25"/>
      <c r="V4" s="25"/>
      <c r="W4" s="19"/>
      <c r="X4" s="10">
        <v>36</v>
      </c>
      <c r="Y4" s="10">
        <v>17</v>
      </c>
      <c r="Z4" s="10">
        <v>97</v>
      </c>
      <c r="AA4" s="10">
        <v>97</v>
      </c>
      <c r="AB4" s="14"/>
      <c r="AC4" s="10" t="s">
        <v>97</v>
      </c>
      <c r="AD4" s="45">
        <v>0.66</v>
      </c>
    </row>
    <row r="5" spans="1:30">
      <c r="A5" s="4" t="s">
        <v>12</v>
      </c>
      <c r="B5" s="9">
        <f>1*8760</f>
        <v>8760</v>
      </c>
      <c r="C5" s="9">
        <f>0.15*8760</f>
        <v>1314</v>
      </c>
      <c r="D5" s="9">
        <f>0.3*8760</f>
        <v>2628</v>
      </c>
      <c r="E5" s="9">
        <f>0.45*8760</f>
        <v>3942</v>
      </c>
      <c r="F5" s="10"/>
      <c r="G5" s="10"/>
      <c r="H5" s="12"/>
      <c r="I5" s="12"/>
      <c r="J5" s="12"/>
      <c r="K5" s="13"/>
      <c r="L5" s="14"/>
      <c r="M5" s="14"/>
      <c r="N5" s="14"/>
      <c r="O5" s="15"/>
      <c r="P5" s="10"/>
      <c r="Q5" s="10">
        <v>26.1</v>
      </c>
      <c r="R5" s="10" t="s">
        <v>40</v>
      </c>
      <c r="S5" s="10" t="s">
        <v>40</v>
      </c>
      <c r="T5" s="9" t="s">
        <v>105</v>
      </c>
      <c r="U5" s="9" t="s">
        <v>106</v>
      </c>
      <c r="V5" s="9" t="s">
        <v>109</v>
      </c>
      <c r="W5" s="11" t="s">
        <v>115</v>
      </c>
      <c r="X5" s="10"/>
      <c r="Y5" s="10">
        <v>867</v>
      </c>
      <c r="Z5" s="10">
        <v>1920</v>
      </c>
      <c r="AA5" s="10">
        <v>3500</v>
      </c>
      <c r="AB5" s="14"/>
      <c r="AC5" s="10"/>
      <c r="AD5" s="10" t="s">
        <v>95</v>
      </c>
    </row>
    <row r="6" spans="1:30">
      <c r="A6" s="4" t="s">
        <v>13</v>
      </c>
      <c r="B6" s="16"/>
      <c r="C6" s="16"/>
      <c r="D6" s="16"/>
      <c r="E6" s="16"/>
      <c r="F6" s="14"/>
      <c r="G6" s="14"/>
      <c r="H6" s="14"/>
      <c r="I6" s="16"/>
      <c r="J6" s="16"/>
      <c r="K6" s="15"/>
      <c r="L6" s="14"/>
      <c r="M6" s="16"/>
      <c r="N6" s="16"/>
      <c r="O6" s="15"/>
      <c r="P6" s="14"/>
      <c r="Q6" s="16"/>
      <c r="R6" s="16"/>
      <c r="S6" s="15"/>
      <c r="T6" s="16"/>
      <c r="U6" s="16"/>
      <c r="V6" s="16"/>
      <c r="W6" s="15"/>
      <c r="X6" s="10"/>
      <c r="Y6" s="10"/>
      <c r="Z6" s="10"/>
      <c r="AA6" s="10"/>
      <c r="AB6" s="14"/>
      <c r="AC6" s="10"/>
      <c r="AD6" s="10"/>
    </row>
    <row r="7" spans="1:30">
      <c r="B7" s="2"/>
      <c r="C7" s="2"/>
      <c r="D7" s="2"/>
      <c r="W7" s="4"/>
    </row>
    <row r="8" spans="1:30">
      <c r="A8" s="3" t="s">
        <v>14</v>
      </c>
      <c r="B8" s="2"/>
      <c r="C8" s="2"/>
      <c r="D8" s="2"/>
      <c r="I8" s="2"/>
      <c r="J8" s="2"/>
      <c r="M8" s="2"/>
      <c r="N8" s="2"/>
      <c r="Q8" s="2"/>
      <c r="R8" s="2"/>
      <c r="W8" s="4"/>
    </row>
    <row r="9" spans="1:30">
      <c r="A9" s="4" t="s">
        <v>23</v>
      </c>
      <c r="B9" s="9" t="s">
        <v>59</v>
      </c>
      <c r="C9" s="9">
        <v>1600</v>
      </c>
      <c r="D9" s="9">
        <v>2000</v>
      </c>
      <c r="E9" s="9">
        <v>5000</v>
      </c>
      <c r="F9" s="9">
        <v>4450</v>
      </c>
      <c r="G9" s="10" t="s">
        <v>88</v>
      </c>
      <c r="H9" s="10" t="s">
        <v>54</v>
      </c>
      <c r="I9" s="9" t="s">
        <v>52</v>
      </c>
      <c r="J9" s="9" t="s">
        <v>51</v>
      </c>
      <c r="K9" s="11" t="s">
        <v>53</v>
      </c>
      <c r="L9" s="10" t="s">
        <v>42</v>
      </c>
      <c r="M9" s="16"/>
      <c r="N9" s="16"/>
      <c r="O9" s="15"/>
      <c r="P9" s="10" t="s">
        <v>75</v>
      </c>
      <c r="Q9" s="9">
        <v>40</v>
      </c>
      <c r="R9" s="9">
        <v>42.5</v>
      </c>
      <c r="S9" s="11"/>
      <c r="T9" s="9" t="s">
        <v>101</v>
      </c>
      <c r="U9" s="9" t="s">
        <v>107</v>
      </c>
      <c r="V9" s="9" t="s">
        <v>110</v>
      </c>
      <c r="W9" s="11" t="s">
        <v>113</v>
      </c>
      <c r="X9" s="10" t="s">
        <v>66</v>
      </c>
      <c r="Y9" s="10" t="s">
        <v>68</v>
      </c>
      <c r="Z9" s="10" t="s">
        <v>73</v>
      </c>
      <c r="AA9" s="10" t="s">
        <v>71</v>
      </c>
      <c r="AB9" s="14"/>
      <c r="AC9" s="10" t="s">
        <v>143</v>
      </c>
      <c r="AD9" s="49">
        <v>10000000</v>
      </c>
    </row>
    <row r="10" spans="1:30">
      <c r="A10" s="4" t="s">
        <v>78</v>
      </c>
      <c r="B10" s="23" t="s">
        <v>79</v>
      </c>
      <c r="C10" s="23" t="s">
        <v>79</v>
      </c>
      <c r="D10" s="23" t="s">
        <v>79</v>
      </c>
      <c r="E10" s="23" t="s">
        <v>79</v>
      </c>
      <c r="F10" s="23" t="s">
        <v>79</v>
      </c>
      <c r="G10" s="23" t="s">
        <v>79</v>
      </c>
      <c r="H10" s="46"/>
      <c r="I10" s="47"/>
      <c r="J10" s="47"/>
      <c r="K10" s="48"/>
      <c r="L10" s="18"/>
      <c r="M10" s="25"/>
      <c r="N10" s="25"/>
      <c r="O10" s="19"/>
      <c r="P10" s="18"/>
      <c r="Q10" s="25"/>
      <c r="R10" s="25"/>
      <c r="S10" s="19"/>
      <c r="T10" s="25"/>
      <c r="U10" s="25"/>
      <c r="V10" s="25"/>
      <c r="W10" s="19"/>
      <c r="X10" s="10" t="s">
        <v>96</v>
      </c>
      <c r="Y10" s="10" t="s">
        <v>96</v>
      </c>
      <c r="Z10" s="10" t="s">
        <v>96</v>
      </c>
      <c r="AA10" s="10" t="s">
        <v>96</v>
      </c>
      <c r="AB10" s="14"/>
      <c r="AC10" s="45" t="s">
        <v>98</v>
      </c>
      <c r="AD10" s="10" t="s">
        <v>96</v>
      </c>
    </row>
    <row r="11" spans="1:30">
      <c r="A11" s="4" t="s">
        <v>26</v>
      </c>
      <c r="B11" s="9" t="s">
        <v>60</v>
      </c>
      <c r="C11" s="9">
        <v>36000</v>
      </c>
      <c r="D11" s="9">
        <v>62000</v>
      </c>
      <c r="E11" s="9">
        <v>175000</v>
      </c>
      <c r="F11" s="9">
        <v>65000</v>
      </c>
      <c r="G11" s="9">
        <v>17190</v>
      </c>
      <c r="H11" s="14"/>
      <c r="I11" s="12"/>
      <c r="J11" s="12"/>
      <c r="K11" s="15"/>
      <c r="L11" s="10" t="s">
        <v>43</v>
      </c>
      <c r="M11" s="14"/>
      <c r="N11" s="14"/>
      <c r="O11" s="15"/>
      <c r="P11" s="10"/>
      <c r="Q11" s="14"/>
      <c r="R11" s="14"/>
      <c r="S11" s="15"/>
      <c r="T11" s="9" t="s">
        <v>102</v>
      </c>
      <c r="U11" s="9" t="s">
        <v>108</v>
      </c>
      <c r="V11" s="9" t="s">
        <v>111</v>
      </c>
      <c r="W11" s="11" t="s">
        <v>114</v>
      </c>
      <c r="X11" s="10" t="s">
        <v>63</v>
      </c>
      <c r="Y11" s="10" t="s">
        <v>69</v>
      </c>
      <c r="Z11" s="10" t="s">
        <v>74</v>
      </c>
      <c r="AA11" s="10" t="s">
        <v>72</v>
      </c>
      <c r="AB11" s="14"/>
      <c r="AC11" s="10" t="s">
        <v>144</v>
      </c>
      <c r="AD11" s="10">
        <v>126000</v>
      </c>
    </row>
    <row r="12" spans="1:30">
      <c r="A12" s="4" t="s">
        <v>27</v>
      </c>
      <c r="B12" s="9" t="s">
        <v>61</v>
      </c>
      <c r="C12" s="9">
        <v>0</v>
      </c>
      <c r="D12" s="9">
        <v>0</v>
      </c>
      <c r="E12" s="9">
        <v>0</v>
      </c>
      <c r="F12" s="9">
        <v>0</v>
      </c>
      <c r="G12" s="9">
        <v>0</v>
      </c>
      <c r="H12" s="14"/>
      <c r="I12" s="12"/>
      <c r="J12" s="12"/>
      <c r="K12" s="15"/>
      <c r="L12" s="14"/>
      <c r="M12" s="14"/>
      <c r="N12" s="14"/>
      <c r="O12" s="15"/>
      <c r="P12" s="10">
        <v>31.17</v>
      </c>
      <c r="Q12" s="14" t="s">
        <v>39</v>
      </c>
      <c r="R12" s="14"/>
      <c r="S12" s="15"/>
      <c r="T12" s="9" t="s">
        <v>103</v>
      </c>
      <c r="U12" s="9">
        <v>0</v>
      </c>
      <c r="V12" s="9">
        <v>0</v>
      </c>
      <c r="W12" s="11">
        <v>0</v>
      </c>
      <c r="X12" s="10" t="s">
        <v>64</v>
      </c>
      <c r="Y12" s="10">
        <v>0</v>
      </c>
      <c r="Z12" s="10">
        <v>0</v>
      </c>
      <c r="AA12" s="10">
        <v>0</v>
      </c>
      <c r="AB12" s="14"/>
      <c r="AC12" s="10">
        <v>0</v>
      </c>
      <c r="AD12" s="10">
        <v>0</v>
      </c>
    </row>
    <row r="13" spans="1:30">
      <c r="A13" s="29" t="s">
        <v>0</v>
      </c>
      <c r="B13" s="9" t="s">
        <v>89</v>
      </c>
      <c r="C13" s="9">
        <v>0</v>
      </c>
      <c r="D13" s="9">
        <v>0</v>
      </c>
      <c r="E13" s="9">
        <v>0</v>
      </c>
      <c r="F13" s="9">
        <v>0</v>
      </c>
      <c r="G13" s="10">
        <v>0</v>
      </c>
      <c r="K13"/>
      <c r="O13"/>
      <c r="S13"/>
      <c r="T13" s="9" t="s">
        <v>104</v>
      </c>
      <c r="U13" s="9">
        <v>0</v>
      </c>
      <c r="V13" s="9">
        <v>0</v>
      </c>
      <c r="W13" s="11">
        <v>0</v>
      </c>
      <c r="X13" s="14"/>
      <c r="Y13" s="14"/>
      <c r="Z13" s="14"/>
      <c r="AA13" s="14"/>
      <c r="AB13" s="14"/>
      <c r="AC13" s="14"/>
      <c r="AD13" s="14"/>
    </row>
    <row r="14" spans="1:30">
      <c r="A14" s="4" t="s">
        <v>80</v>
      </c>
      <c r="B14" s="20" t="s">
        <v>76</v>
      </c>
      <c r="C14" s="12"/>
      <c r="D14" s="12"/>
      <c r="E14" s="30"/>
      <c r="F14" s="12"/>
      <c r="G14" s="12"/>
      <c r="H14" s="10" t="s">
        <v>56</v>
      </c>
      <c r="I14" s="10" t="s">
        <v>55</v>
      </c>
      <c r="J14" s="10" t="s">
        <v>57</v>
      </c>
      <c r="K14" s="11" t="s">
        <v>58</v>
      </c>
      <c r="L14" s="10"/>
      <c r="M14" s="14"/>
      <c r="N14" s="14"/>
      <c r="O14" s="15"/>
      <c r="P14" s="12"/>
      <c r="Q14" s="12"/>
      <c r="R14" s="12"/>
      <c r="S14" s="13"/>
      <c r="T14" s="16"/>
      <c r="U14" s="16"/>
      <c r="V14" s="16"/>
      <c r="W14" s="15"/>
      <c r="X14" s="14"/>
      <c r="Y14" s="14"/>
      <c r="Z14" s="14"/>
      <c r="AA14" s="14"/>
      <c r="AB14" s="14"/>
      <c r="AC14" s="14"/>
      <c r="AD14" s="14"/>
    </row>
    <row r="15" spans="1:30">
      <c r="A15" s="4" t="s">
        <v>18</v>
      </c>
      <c r="B15" s="14"/>
      <c r="C15" s="14"/>
      <c r="D15" s="14"/>
      <c r="E15" s="16"/>
      <c r="F15" s="14"/>
      <c r="G15" s="14"/>
      <c r="H15" s="12"/>
      <c r="I15" s="14"/>
      <c r="J15" s="14"/>
      <c r="K15" s="15"/>
      <c r="L15" s="10" t="s">
        <v>44</v>
      </c>
      <c r="M15" s="14"/>
      <c r="N15" s="14"/>
      <c r="O15" s="15"/>
      <c r="P15" s="10" t="s">
        <v>41</v>
      </c>
      <c r="Q15" s="14"/>
      <c r="R15" s="14"/>
      <c r="S15" s="15"/>
      <c r="T15" s="16"/>
      <c r="U15" s="16"/>
      <c r="V15" s="16"/>
      <c r="W15" s="15"/>
      <c r="X15" s="14"/>
      <c r="Y15" s="14"/>
      <c r="Z15" s="14"/>
      <c r="AA15" s="14"/>
      <c r="AB15" s="14"/>
      <c r="AC15" s="14"/>
      <c r="AD15" s="14"/>
    </row>
    <row r="16" spans="1:30">
      <c r="A16" s="4" t="s">
        <v>19</v>
      </c>
      <c r="B16" s="14"/>
      <c r="C16" s="14"/>
      <c r="D16" s="14"/>
      <c r="E16" s="16"/>
      <c r="F16" s="14"/>
      <c r="G16" s="14"/>
      <c r="H16" s="14"/>
      <c r="I16" s="12"/>
      <c r="J16" s="14"/>
      <c r="K16" s="15"/>
      <c r="L16" s="10" t="s">
        <v>45</v>
      </c>
      <c r="M16" s="14"/>
      <c r="N16" s="14"/>
      <c r="O16" s="15"/>
      <c r="P16" s="10" t="s">
        <v>38</v>
      </c>
      <c r="Q16" s="14"/>
      <c r="R16" s="14"/>
      <c r="S16" s="15"/>
      <c r="T16" s="16"/>
      <c r="U16" s="16"/>
      <c r="V16" s="16"/>
      <c r="W16" s="15"/>
      <c r="X16" s="10" t="s">
        <v>65</v>
      </c>
      <c r="Y16" s="10">
        <v>0</v>
      </c>
      <c r="Z16" s="10">
        <v>0</v>
      </c>
      <c r="AA16" s="10">
        <v>0</v>
      </c>
      <c r="AB16" s="14"/>
      <c r="AC16" s="10"/>
      <c r="AD16" s="10"/>
    </row>
    <row r="17" spans="1:30">
      <c r="A17" s="4" t="s">
        <v>20</v>
      </c>
      <c r="B17" s="12"/>
      <c r="C17" s="12"/>
      <c r="D17" s="12"/>
      <c r="E17" s="30"/>
      <c r="F17" s="12"/>
      <c r="G17" s="12"/>
      <c r="H17" s="12"/>
      <c r="I17" s="12"/>
      <c r="J17" s="12"/>
      <c r="K17" s="13"/>
      <c r="L17" s="14"/>
      <c r="M17" s="14"/>
      <c r="N17" s="14"/>
      <c r="O17" s="15"/>
      <c r="P17" s="12"/>
      <c r="Q17" s="14"/>
      <c r="R17" s="14"/>
      <c r="S17" s="15"/>
      <c r="T17" s="16"/>
      <c r="U17" s="16"/>
      <c r="V17" s="16"/>
      <c r="W17" s="15"/>
      <c r="X17" s="14"/>
      <c r="Y17" s="14"/>
      <c r="Z17" s="14"/>
      <c r="AA17" s="14"/>
      <c r="AB17" s="14"/>
      <c r="AC17" s="14"/>
      <c r="AD17" s="14"/>
    </row>
    <row r="18" spans="1:30">
      <c r="T18" s="5"/>
      <c r="U18" s="5"/>
      <c r="V18" s="5"/>
      <c r="W18" s="29"/>
    </row>
    <row r="19" spans="1:30">
      <c r="A19" s="3" t="s">
        <v>16</v>
      </c>
      <c r="T19" s="5"/>
      <c r="U19" s="5"/>
      <c r="V19" s="5"/>
      <c r="W19" s="29"/>
    </row>
    <row r="20" spans="1:30">
      <c r="A20" s="4" t="s">
        <v>17</v>
      </c>
      <c r="B20" s="14"/>
      <c r="C20" s="14"/>
      <c r="D20" s="14"/>
      <c r="E20" s="16"/>
      <c r="F20" s="14"/>
      <c r="G20" s="14"/>
      <c r="H20" s="12"/>
      <c r="I20" s="12"/>
      <c r="J20" s="12"/>
      <c r="K20" s="13"/>
      <c r="L20" s="14"/>
      <c r="M20" s="14"/>
      <c r="N20" s="14"/>
      <c r="O20" s="15"/>
      <c r="P20" s="14"/>
      <c r="Q20" s="14"/>
      <c r="R20" s="14"/>
      <c r="S20" s="15"/>
      <c r="T20" s="16"/>
      <c r="U20" s="16"/>
      <c r="V20" s="16"/>
      <c r="W20" s="15"/>
      <c r="X20" s="10" t="s">
        <v>67</v>
      </c>
      <c r="Y20" s="10">
        <v>0.3</v>
      </c>
      <c r="Z20" s="10">
        <v>0.2</v>
      </c>
      <c r="AA20" s="10">
        <v>0.5</v>
      </c>
      <c r="AB20" s="14"/>
      <c r="AC20" s="10">
        <v>0</v>
      </c>
      <c r="AD20" s="10">
        <v>2.4E-2</v>
      </c>
    </row>
    <row r="21" spans="1:30">
      <c r="A21" s="4" t="s">
        <v>36</v>
      </c>
      <c r="B21" s="10">
        <v>7</v>
      </c>
      <c r="C21" s="10">
        <v>1</v>
      </c>
      <c r="D21" s="10">
        <v>1</v>
      </c>
      <c r="E21" s="9">
        <v>1</v>
      </c>
      <c r="F21" s="9">
        <v>5</v>
      </c>
      <c r="G21" s="9">
        <v>1</v>
      </c>
      <c r="H21" s="14"/>
      <c r="I21" s="14"/>
      <c r="J21" s="14"/>
      <c r="K21" s="15"/>
      <c r="L21" s="10">
        <v>7</v>
      </c>
      <c r="M21" s="14"/>
      <c r="N21" s="14"/>
      <c r="O21" s="15"/>
      <c r="P21" s="10">
        <v>9.8000000000000007</v>
      </c>
      <c r="Q21" s="14"/>
      <c r="R21" s="14"/>
      <c r="S21" s="15"/>
      <c r="T21" s="9">
        <v>5.75</v>
      </c>
      <c r="U21" s="9">
        <f>9/12</f>
        <v>0.75</v>
      </c>
      <c r="V21" s="9">
        <v>1</v>
      </c>
      <c r="W21" s="11">
        <v>1</v>
      </c>
      <c r="X21" s="10">
        <v>5</v>
      </c>
      <c r="Y21" s="10">
        <v>0.5</v>
      </c>
      <c r="Z21" s="10">
        <v>1</v>
      </c>
      <c r="AA21" s="10">
        <v>1.5</v>
      </c>
      <c r="AB21" s="14"/>
      <c r="AC21" s="10">
        <v>0.1</v>
      </c>
      <c r="AD21" s="10">
        <v>1</v>
      </c>
    </row>
    <row r="22" spans="1:30">
      <c r="A22" s="4" t="s">
        <v>37</v>
      </c>
      <c r="B22" s="10">
        <v>60</v>
      </c>
      <c r="C22" s="10">
        <v>25</v>
      </c>
      <c r="D22" s="10">
        <v>25</v>
      </c>
      <c r="E22" s="9">
        <v>25</v>
      </c>
      <c r="F22" s="9">
        <v>80</v>
      </c>
      <c r="G22" s="9">
        <v>10</v>
      </c>
      <c r="H22" s="14"/>
      <c r="I22" s="14"/>
      <c r="J22" s="14"/>
      <c r="K22" s="15"/>
      <c r="L22" s="14"/>
      <c r="M22" s="14"/>
      <c r="N22" s="14"/>
      <c r="O22" s="15"/>
      <c r="P22" s="10">
        <v>60</v>
      </c>
      <c r="Q22" s="14"/>
      <c r="R22" s="14"/>
      <c r="S22" s="15"/>
      <c r="T22" s="9">
        <v>40</v>
      </c>
      <c r="U22" s="9">
        <v>30</v>
      </c>
      <c r="V22" s="9">
        <v>20</v>
      </c>
      <c r="W22" s="11">
        <v>20</v>
      </c>
      <c r="X22" s="10">
        <v>60</v>
      </c>
      <c r="Y22" s="10">
        <v>25</v>
      </c>
      <c r="Z22" s="10">
        <v>25</v>
      </c>
      <c r="AA22" s="10">
        <v>20</v>
      </c>
      <c r="AB22" s="14"/>
      <c r="AC22" s="10">
        <v>10</v>
      </c>
      <c r="AD22" s="10">
        <v>25</v>
      </c>
    </row>
    <row r="23" spans="1:30">
      <c r="A23" s="8"/>
    </row>
    <row r="25" spans="1:30">
      <c r="A25" s="4" t="s">
        <v>5</v>
      </c>
      <c r="B25" t="s">
        <v>7</v>
      </c>
      <c r="H25" t="s">
        <v>29</v>
      </c>
      <c r="L25" t="s">
        <v>32</v>
      </c>
    </row>
    <row r="26" spans="1:30">
      <c r="A26" s="4" t="s">
        <v>6</v>
      </c>
      <c r="B26" t="s">
        <v>8</v>
      </c>
      <c r="H26" t="s">
        <v>30</v>
      </c>
      <c r="L26" s="17" t="s">
        <v>33</v>
      </c>
      <c r="P26" t="s">
        <v>46</v>
      </c>
    </row>
    <row r="27" spans="1:30">
      <c r="A27" s="4" t="s">
        <v>24</v>
      </c>
      <c r="B27" t="s">
        <v>25</v>
      </c>
    </row>
    <row r="31" spans="1:30">
      <c r="C31" t="s">
        <v>90</v>
      </c>
    </row>
    <row r="32" spans="1:30">
      <c r="C32" t="s">
        <v>91</v>
      </c>
    </row>
    <row r="33" spans="3:3">
      <c r="C33" t="s">
        <v>92</v>
      </c>
    </row>
    <row r="34" spans="3:3">
      <c r="C34" t="s">
        <v>93</v>
      </c>
    </row>
  </sheetData>
  <mergeCells count="5">
    <mergeCell ref="B1:E1"/>
    <mergeCell ref="H1:K1"/>
    <mergeCell ref="L1:O1"/>
    <mergeCell ref="P1:S1"/>
    <mergeCell ref="T1:W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5"/>
  <sheetViews>
    <sheetView zoomScale="83" workbookViewId="0">
      <selection activeCell="A12" sqref="A12:XFD12"/>
    </sheetView>
  </sheetViews>
  <sheetFormatPr baseColWidth="10" defaultRowHeight="16"/>
  <cols>
    <col min="1" max="1" width="10.83203125" style="4"/>
    <col min="2" max="2" width="10.83203125" style="2"/>
    <col min="6" max="6" width="10.83203125" style="2"/>
    <col min="12" max="12" width="10.83203125" style="4" customWidth="1"/>
    <col min="16" max="16" width="10.83203125" style="4"/>
    <col min="20" max="20" width="10.83203125" style="4"/>
    <col min="21" max="24" width="10.83203125" style="2"/>
    <col min="31" max="31" width="11.83203125" bestFit="1" customWidth="1"/>
  </cols>
  <sheetData>
    <row r="1" spans="1:31">
      <c r="A1" s="2"/>
      <c r="C1" s="115" t="s">
        <v>22</v>
      </c>
      <c r="D1" s="116"/>
      <c r="E1" s="116"/>
      <c r="F1" s="116"/>
      <c r="I1" s="115" t="s">
        <v>28</v>
      </c>
      <c r="J1" s="116"/>
      <c r="K1" s="116"/>
      <c r="L1" s="117"/>
      <c r="M1" s="115" t="s">
        <v>31</v>
      </c>
      <c r="N1" s="116"/>
      <c r="O1" s="116"/>
      <c r="P1" s="117"/>
      <c r="Q1" s="115" t="s">
        <v>34</v>
      </c>
      <c r="R1" s="116"/>
      <c r="S1" s="116"/>
      <c r="T1" s="117"/>
      <c r="U1" s="7" t="s">
        <v>100</v>
      </c>
      <c r="V1" s="7"/>
      <c r="W1" s="7"/>
      <c r="X1" s="7"/>
      <c r="Y1" s="115" t="s">
        <v>35</v>
      </c>
      <c r="Z1" s="116"/>
      <c r="AA1" s="116"/>
      <c r="AB1" s="117"/>
    </row>
    <row r="2" spans="1:31">
      <c r="A2" s="51" t="s">
        <v>9</v>
      </c>
      <c r="B2" s="34" t="s">
        <v>155</v>
      </c>
      <c r="C2" s="5" t="s">
        <v>1</v>
      </c>
      <c r="D2" s="5" t="s">
        <v>2</v>
      </c>
      <c r="E2" s="5" t="s">
        <v>3</v>
      </c>
      <c r="F2" s="5" t="s">
        <v>4</v>
      </c>
      <c r="G2" s="5" t="s">
        <v>82</v>
      </c>
      <c r="H2" s="5" t="s">
        <v>81</v>
      </c>
      <c r="I2" s="5" t="s">
        <v>1</v>
      </c>
      <c r="J2" s="17" t="s">
        <v>2</v>
      </c>
      <c r="K2" s="17" t="s">
        <v>3</v>
      </c>
      <c r="L2" s="29" t="s">
        <v>4</v>
      </c>
      <c r="M2" s="17" t="s">
        <v>1</v>
      </c>
      <c r="N2" s="17" t="s">
        <v>2</v>
      </c>
      <c r="O2" s="17" t="s">
        <v>3</v>
      </c>
      <c r="P2" s="29" t="s">
        <v>4</v>
      </c>
      <c r="Q2" s="17" t="s">
        <v>1</v>
      </c>
      <c r="R2" s="17" t="s">
        <v>2</v>
      </c>
      <c r="S2" s="17" t="s">
        <v>3</v>
      </c>
      <c r="T2" s="29" t="s">
        <v>4</v>
      </c>
      <c r="U2" s="17" t="s">
        <v>1</v>
      </c>
      <c r="V2" s="17" t="s">
        <v>2</v>
      </c>
      <c r="W2" s="17" t="s">
        <v>3</v>
      </c>
      <c r="X2" s="29" t="s">
        <v>4</v>
      </c>
      <c r="Y2" s="17" t="s">
        <v>1</v>
      </c>
      <c r="Z2" s="17" t="s">
        <v>2</v>
      </c>
      <c r="AA2" s="17" t="s">
        <v>3</v>
      </c>
      <c r="AB2" s="29" t="s">
        <v>4</v>
      </c>
      <c r="AC2" s="5" t="s">
        <v>82</v>
      </c>
      <c r="AD2" s="5" t="s">
        <v>81</v>
      </c>
      <c r="AE2" s="5" t="s">
        <v>83</v>
      </c>
    </row>
    <row r="3" spans="1:31">
      <c r="A3" s="29" t="s">
        <v>21</v>
      </c>
      <c r="B3" s="5"/>
      <c r="C3" s="5">
        <v>1000</v>
      </c>
      <c r="D3" s="17">
        <v>1</v>
      </c>
      <c r="E3" s="5">
        <v>50</v>
      </c>
      <c r="F3" s="5">
        <v>250</v>
      </c>
      <c r="G3" s="5">
        <v>10</v>
      </c>
      <c r="H3" s="5">
        <v>10</v>
      </c>
      <c r="I3" s="17">
        <v>1300</v>
      </c>
      <c r="J3" s="17">
        <v>200</v>
      </c>
      <c r="K3" s="17">
        <v>20</v>
      </c>
      <c r="L3" s="29">
        <v>223</v>
      </c>
      <c r="M3" s="17"/>
      <c r="N3" s="17"/>
      <c r="O3" s="17"/>
      <c r="P3" s="29"/>
      <c r="Q3" s="28"/>
      <c r="R3" s="28"/>
      <c r="S3" s="28"/>
      <c r="T3" s="27"/>
      <c r="U3" s="26">
        <v>2200</v>
      </c>
      <c r="V3" s="26">
        <v>100</v>
      </c>
      <c r="W3" s="26">
        <v>150</v>
      </c>
      <c r="X3" s="26" t="s">
        <v>112</v>
      </c>
      <c r="Y3" s="17">
        <v>1605</v>
      </c>
      <c r="Z3" s="17">
        <v>20</v>
      </c>
      <c r="AA3" s="17">
        <v>3</v>
      </c>
      <c r="AB3" s="17">
        <v>3</v>
      </c>
      <c r="AD3">
        <v>129</v>
      </c>
      <c r="AE3">
        <v>10</v>
      </c>
    </row>
    <row r="4" spans="1:31">
      <c r="A4" s="29" t="s">
        <v>11</v>
      </c>
      <c r="B4" s="5"/>
      <c r="C4" s="52">
        <v>0.33</v>
      </c>
      <c r="D4" s="5"/>
      <c r="E4" s="5"/>
      <c r="F4" s="5"/>
      <c r="G4" s="53"/>
      <c r="H4" s="53">
        <v>0.9</v>
      </c>
      <c r="I4" s="17"/>
      <c r="J4" s="17"/>
      <c r="K4" s="17"/>
      <c r="L4" s="29"/>
      <c r="M4" s="17"/>
      <c r="N4" s="17"/>
      <c r="O4" s="17"/>
      <c r="P4" s="29"/>
      <c r="Q4" s="28"/>
      <c r="R4" s="28"/>
      <c r="S4" s="28"/>
      <c r="T4" s="27"/>
      <c r="U4" s="26"/>
      <c r="V4" s="26"/>
      <c r="W4" s="26"/>
      <c r="X4" s="26"/>
      <c r="Y4" s="53">
        <v>0.36</v>
      </c>
      <c r="Z4" s="53">
        <v>0.17</v>
      </c>
      <c r="AA4" s="53">
        <v>0.97</v>
      </c>
      <c r="AB4" s="53">
        <v>0.97</v>
      </c>
      <c r="AD4" s="31">
        <v>0.85</v>
      </c>
      <c r="AE4" s="31">
        <v>0.66</v>
      </c>
    </row>
    <row r="5" spans="1:31">
      <c r="A5" s="29" t="s">
        <v>99</v>
      </c>
      <c r="B5" s="5"/>
      <c r="C5" s="5">
        <f>1*8760</f>
        <v>8760</v>
      </c>
      <c r="D5" s="5">
        <f>0.15*8760</f>
        <v>1314</v>
      </c>
      <c r="E5" s="5">
        <f>0.3*8760</f>
        <v>2628</v>
      </c>
      <c r="F5" s="5">
        <f>0.45*8760</f>
        <v>3942</v>
      </c>
      <c r="G5" s="17"/>
      <c r="H5" s="17"/>
      <c r="I5" s="17"/>
      <c r="J5" s="17"/>
      <c r="K5" s="17"/>
      <c r="L5" s="29"/>
      <c r="M5" s="17"/>
      <c r="N5" s="17"/>
      <c r="O5" s="17"/>
      <c r="P5" s="29"/>
      <c r="Q5" s="17"/>
      <c r="R5" s="17"/>
      <c r="S5" s="17"/>
      <c r="T5" s="17"/>
      <c r="U5" s="17">
        <f>AVERAGE(0.9,0.91)*8760</f>
        <v>7927.8</v>
      </c>
      <c r="V5" s="17">
        <f>AVERAGE(0.15,0.25)*8760</f>
        <v>1752</v>
      </c>
      <c r="W5" s="17">
        <f>AVERAGE(0.38,0.55)*8760</f>
        <v>4073.4</v>
      </c>
      <c r="X5" s="17">
        <f>AVERAGE(0.45,0.55)*8760</f>
        <v>4380</v>
      </c>
      <c r="Y5" s="17"/>
      <c r="Z5" s="17">
        <v>867</v>
      </c>
      <c r="AA5" s="17">
        <v>1920</v>
      </c>
      <c r="AB5" s="17">
        <v>3500</v>
      </c>
      <c r="AE5">
        <v>3000</v>
      </c>
    </row>
    <row r="6" spans="1:31">
      <c r="A6" s="29" t="s">
        <v>13</v>
      </c>
      <c r="B6" s="5"/>
      <c r="C6" s="5"/>
      <c r="D6" s="5"/>
      <c r="E6" s="5"/>
      <c r="F6" s="5"/>
      <c r="G6" s="17"/>
      <c r="H6" s="17"/>
      <c r="I6" s="17"/>
      <c r="J6" s="5"/>
      <c r="K6" s="5"/>
      <c r="L6" s="29"/>
      <c r="M6" s="17"/>
      <c r="N6" s="5"/>
      <c r="O6" s="5"/>
      <c r="P6" s="29"/>
      <c r="Q6" s="17"/>
      <c r="R6" s="5"/>
      <c r="S6" s="5"/>
      <c r="T6" s="29"/>
      <c r="U6" s="5"/>
      <c r="V6" s="5"/>
      <c r="W6" s="5"/>
      <c r="X6" s="5"/>
      <c r="Y6" s="17"/>
      <c r="Z6" s="17"/>
      <c r="AA6" s="17"/>
      <c r="AB6" s="17"/>
    </row>
    <row r="7" spans="1:31">
      <c r="A7" s="29"/>
      <c r="B7" s="5"/>
      <c r="C7" s="5"/>
      <c r="D7" s="5"/>
      <c r="E7" s="5"/>
      <c r="F7" s="5"/>
      <c r="G7" s="17"/>
      <c r="H7" s="17"/>
      <c r="I7" s="17"/>
      <c r="J7" s="17"/>
      <c r="K7" s="17"/>
      <c r="L7" s="29"/>
      <c r="M7" s="17">
        <f>AVERAGE(3600,7200)</f>
        <v>5400</v>
      </c>
      <c r="N7" s="17"/>
      <c r="O7" s="17"/>
      <c r="P7" s="29"/>
      <c r="Q7" s="17"/>
      <c r="R7" s="17"/>
      <c r="S7" s="17"/>
      <c r="T7" s="29"/>
      <c r="U7" s="5"/>
      <c r="V7" s="5"/>
      <c r="W7" s="5"/>
      <c r="X7" s="5"/>
      <c r="Y7" s="17"/>
      <c r="Z7" s="17"/>
      <c r="AA7" s="17"/>
      <c r="AB7" s="17"/>
    </row>
    <row r="8" spans="1:31">
      <c r="A8" s="51" t="s">
        <v>14</v>
      </c>
      <c r="B8" s="34"/>
      <c r="C8" s="5"/>
      <c r="D8" s="5"/>
      <c r="E8" s="5"/>
      <c r="F8" s="5"/>
      <c r="G8" s="17"/>
      <c r="H8" s="17"/>
      <c r="I8" s="17"/>
      <c r="J8" s="5"/>
      <c r="K8" s="5"/>
      <c r="L8" s="29"/>
      <c r="M8" s="17"/>
      <c r="N8" s="5"/>
      <c r="O8" s="5"/>
      <c r="P8" s="29"/>
      <c r="Q8" s="17"/>
      <c r="R8" s="5"/>
      <c r="S8" s="5"/>
      <c r="T8" s="29"/>
      <c r="U8" s="5"/>
      <c r="V8" s="5"/>
      <c r="W8" s="5"/>
      <c r="X8" s="5"/>
      <c r="Y8" s="17"/>
      <c r="Z8" s="17"/>
      <c r="AA8" s="17"/>
      <c r="AB8" s="17"/>
    </row>
    <row r="9" spans="1:31">
      <c r="A9" s="29" t="s">
        <v>124</v>
      </c>
      <c r="B9" s="5"/>
      <c r="C9" s="5">
        <f>4700*0.868*1000</f>
        <v>4079600</v>
      </c>
      <c r="D9" s="5">
        <f>1600*0.868*1000</f>
        <v>1388800</v>
      </c>
      <c r="E9" s="5">
        <f>2000*0.868*1000</f>
        <v>1736000</v>
      </c>
      <c r="F9" s="5">
        <f>5000*0.868*1000</f>
        <v>4340000</v>
      </c>
      <c r="G9" s="5">
        <f>4450*0.868*1000</f>
        <v>3862600</v>
      </c>
      <c r="H9" s="17">
        <f>1146*0.868*1000</f>
        <v>994728</v>
      </c>
      <c r="I9" s="17">
        <f>4896*0.868*1000</f>
        <v>4249728</v>
      </c>
      <c r="J9" s="5">
        <f>1436*0.868*1000</f>
        <v>1246448</v>
      </c>
      <c r="K9" s="5">
        <f>1804*0.868*1000</f>
        <v>1565872</v>
      </c>
      <c r="L9" s="29">
        <f>4998*0.868*1000</f>
        <v>4338264</v>
      </c>
      <c r="M9" s="17">
        <f>5400*1000</f>
        <v>5400000</v>
      </c>
      <c r="N9" s="5"/>
      <c r="O9" s="5"/>
      <c r="P9" s="29"/>
      <c r="Q9" s="17"/>
      <c r="R9" s="5"/>
      <c r="S9" s="5"/>
      <c r="T9" s="29"/>
      <c r="U9" s="5">
        <f>AVERAGE(6900,12200)*0.868*1000</f>
        <v>8289400</v>
      </c>
      <c r="V9" s="5">
        <f>AVERAGE(900,110)*0.868*1000</f>
        <v>438340</v>
      </c>
      <c r="W9" s="5">
        <f>AVERAGE(1100,1500)*0.868*1000</f>
        <v>1128400</v>
      </c>
      <c r="X9" s="5">
        <f>AVERAGE(2350,3550)*0.868*1000</f>
        <v>2560600</v>
      </c>
      <c r="Y9" s="17">
        <f>3000*1000</f>
        <v>3000000</v>
      </c>
      <c r="Z9" s="17">
        <f>871*1000</f>
        <v>871000</v>
      </c>
      <c r="AA9" s="17">
        <f>1391*1000</f>
        <v>1391000</v>
      </c>
      <c r="AB9" s="17">
        <f>3902*1000</f>
        <v>3902000</v>
      </c>
      <c r="AD9">
        <v>475000</v>
      </c>
      <c r="AE9" s="32">
        <v>1000000</v>
      </c>
    </row>
    <row r="10" spans="1:31">
      <c r="A10" s="29" t="s">
        <v>78</v>
      </c>
      <c r="B10" s="5"/>
      <c r="C10" s="33">
        <v>7.0000000000000007E-2</v>
      </c>
      <c r="D10" s="33">
        <v>7.0000000000000007E-2</v>
      </c>
      <c r="E10" s="33">
        <v>7.0000000000000007E-2</v>
      </c>
      <c r="F10" s="33">
        <v>7.0000000000000007E-2</v>
      </c>
      <c r="G10" s="33">
        <v>7.0000000000000007E-2</v>
      </c>
      <c r="H10" s="33">
        <v>7.0000000000000007E-2</v>
      </c>
      <c r="I10" s="28"/>
      <c r="J10" s="26"/>
      <c r="K10" s="26"/>
      <c r="L10" s="27"/>
      <c r="M10" s="28"/>
      <c r="N10" s="26"/>
      <c r="O10" s="26"/>
      <c r="P10" s="27"/>
      <c r="Q10" s="28"/>
      <c r="R10" s="26"/>
      <c r="S10" s="26"/>
      <c r="T10" s="27"/>
      <c r="U10" s="26"/>
      <c r="V10" s="26"/>
      <c r="W10" s="26"/>
      <c r="X10" s="26"/>
      <c r="Y10" s="53">
        <v>7.0000000000000007E-2</v>
      </c>
      <c r="Z10" s="53">
        <v>7.0000000000000007E-2</v>
      </c>
      <c r="AA10" s="53">
        <v>7.0000000000000007E-2</v>
      </c>
      <c r="AB10" s="53">
        <v>7.0000000000000007E-2</v>
      </c>
      <c r="AD10" s="31">
        <v>0.04</v>
      </c>
      <c r="AE10" s="31">
        <v>7.0000000000000007E-2</v>
      </c>
    </row>
    <row r="11" spans="1:31">
      <c r="A11" s="29" t="s">
        <v>117</v>
      </c>
      <c r="B11" s="5"/>
      <c r="C11" s="5">
        <f>100000*0.868</f>
        <v>86800</v>
      </c>
      <c r="D11" s="5">
        <f>36000*0.868</f>
        <v>31248</v>
      </c>
      <c r="E11" s="5">
        <f>62000*0.868</f>
        <v>53816</v>
      </c>
      <c r="F11" s="5">
        <f>175000*0.868</f>
        <v>151900</v>
      </c>
      <c r="G11" s="5">
        <f>65000*0.868</f>
        <v>56420</v>
      </c>
      <c r="H11" s="5">
        <f>17190*0.868</f>
        <v>14920.92</v>
      </c>
      <c r="I11" s="17"/>
      <c r="J11" s="17"/>
      <c r="K11" s="17"/>
      <c r="L11" s="29"/>
      <c r="M11" s="17"/>
      <c r="N11" s="17"/>
      <c r="O11" s="17"/>
      <c r="P11" s="29"/>
      <c r="Q11" s="17"/>
      <c r="R11" s="17"/>
      <c r="S11" s="17"/>
      <c r="T11" s="29"/>
      <c r="U11" s="5">
        <f>AVERAGE(108.5,133)*1000*0.868</f>
        <v>104811</v>
      </c>
      <c r="V11" s="5">
        <f>AVERAGE(9,12)*1000*0.686</f>
        <v>7203.0000000000009</v>
      </c>
      <c r="W11" s="5">
        <f>AVERAGE(28,36.5)*1000*0.686</f>
        <v>22123.5</v>
      </c>
      <c r="X11" s="5">
        <f>AVERAGE(80,110)*1000*0.868</f>
        <v>82460</v>
      </c>
      <c r="Y11" s="17">
        <v>49030</v>
      </c>
      <c r="Z11" s="17">
        <v>15900</v>
      </c>
      <c r="AA11" s="17">
        <v>49190</v>
      </c>
      <c r="AB11" s="17">
        <v>142960</v>
      </c>
      <c r="AD11">
        <v>4760</v>
      </c>
      <c r="AE11">
        <v>126000</v>
      </c>
    </row>
    <row r="12" spans="1:31">
      <c r="A12" s="29" t="s">
        <v>156</v>
      </c>
      <c r="B12" s="5"/>
      <c r="C12" s="5">
        <f>1.5*0.868*C3</f>
        <v>1302</v>
      </c>
      <c r="D12" s="5">
        <v>0</v>
      </c>
      <c r="E12" s="5">
        <v>0</v>
      </c>
      <c r="F12" s="5">
        <v>0</v>
      </c>
      <c r="G12" s="5">
        <v>0</v>
      </c>
      <c r="H12" s="5">
        <v>0</v>
      </c>
      <c r="I12" s="17"/>
      <c r="J12" s="17"/>
      <c r="K12" s="17"/>
      <c r="L12" s="29"/>
      <c r="M12" s="17"/>
      <c r="N12" s="17"/>
      <c r="O12" s="17"/>
      <c r="P12" s="29"/>
      <c r="Q12" s="17">
        <v>31.17</v>
      </c>
      <c r="R12" s="17" t="s">
        <v>39</v>
      </c>
      <c r="S12" s="17"/>
      <c r="T12" s="29"/>
      <c r="U12" s="5">
        <f>AVERAGE(3.5,4.25)*0.868*U3</f>
        <v>7399.7000000000007</v>
      </c>
      <c r="V12" s="5">
        <v>0</v>
      </c>
      <c r="W12" s="5">
        <v>0</v>
      </c>
      <c r="X12" s="5">
        <v>0</v>
      </c>
      <c r="Y12" s="17" t="s">
        <v>64</v>
      </c>
      <c r="Z12" s="17">
        <v>0</v>
      </c>
      <c r="AA12" s="17">
        <v>0</v>
      </c>
      <c r="AB12" s="17">
        <v>0</v>
      </c>
      <c r="AD12">
        <v>0</v>
      </c>
      <c r="AE12">
        <v>0</v>
      </c>
    </row>
    <row r="13" spans="1:31">
      <c r="A13" s="29" t="s">
        <v>118</v>
      </c>
      <c r="B13" s="5"/>
      <c r="C13" s="5">
        <f>10*0.868</f>
        <v>8.68</v>
      </c>
      <c r="D13" s="5">
        <v>0</v>
      </c>
      <c r="E13" s="5">
        <v>0</v>
      </c>
      <c r="F13" s="5">
        <v>0</v>
      </c>
      <c r="G13" s="5">
        <v>0</v>
      </c>
      <c r="H13" s="17">
        <v>0</v>
      </c>
      <c r="I13" s="17"/>
      <c r="J13" s="17"/>
      <c r="K13" s="17"/>
      <c r="L13" s="17"/>
      <c r="M13" s="17">
        <f>AVERAGE(0.0054,0.0095)*1000</f>
        <v>7.45</v>
      </c>
      <c r="N13" s="17"/>
      <c r="O13" s="17"/>
      <c r="P13" s="17"/>
      <c r="Q13" s="17"/>
      <c r="R13" s="17"/>
      <c r="S13" s="17"/>
      <c r="T13" s="17"/>
      <c r="U13" s="17">
        <f>0.85/(293/1000)/AVERAGE(C4,Y4)*0.868</f>
        <v>7.2988079339170016</v>
      </c>
      <c r="V13" s="17"/>
      <c r="W13" s="17"/>
      <c r="X13" s="17"/>
      <c r="Y13" s="17"/>
      <c r="Z13" s="17">
        <v>0</v>
      </c>
      <c r="AA13" s="17">
        <v>0</v>
      </c>
      <c r="AB13" s="17">
        <v>0</v>
      </c>
    </row>
    <row r="14" spans="1:31">
      <c r="A14" s="29" t="s">
        <v>152</v>
      </c>
      <c r="B14" s="52">
        <v>0.1</v>
      </c>
      <c r="C14" s="28"/>
      <c r="D14" s="17"/>
      <c r="E14" s="17"/>
      <c r="F14" s="5"/>
      <c r="G14" s="17"/>
      <c r="H14" s="17"/>
      <c r="I14" s="17">
        <f>3*0.868</f>
        <v>2.6040000000000001</v>
      </c>
      <c r="J14" s="17">
        <f>27*0.868</f>
        <v>23.436</v>
      </c>
      <c r="K14" s="17">
        <f>15*0.868</f>
        <v>13.02</v>
      </c>
      <c r="L14" s="29">
        <f>27*0.868</f>
        <v>23.436</v>
      </c>
      <c r="M14" s="17"/>
      <c r="N14" s="17"/>
      <c r="O14" s="17"/>
      <c r="P14" s="29"/>
      <c r="Q14" s="17"/>
      <c r="R14" s="17"/>
      <c r="S14" s="17"/>
      <c r="T14" s="29"/>
      <c r="U14" s="5"/>
      <c r="V14" s="5"/>
      <c r="W14" s="5"/>
      <c r="X14" s="5"/>
      <c r="Y14" s="17"/>
      <c r="Z14" s="17"/>
      <c r="AA14" s="17"/>
      <c r="AB14" s="17"/>
    </row>
    <row r="15" spans="1:31">
      <c r="A15" s="29" t="s">
        <v>153</v>
      </c>
      <c r="B15" s="52">
        <v>0.3</v>
      </c>
      <c r="C15" s="28"/>
      <c r="D15" s="17"/>
      <c r="E15" s="17"/>
      <c r="F15" s="5"/>
      <c r="G15" s="17"/>
      <c r="H15" s="17"/>
      <c r="I15" s="17">
        <f>3*0.868</f>
        <v>2.6040000000000001</v>
      </c>
      <c r="J15" s="17">
        <f>43*0.868</f>
        <v>37.323999999999998</v>
      </c>
      <c r="K15" s="17">
        <f>27*0.868</f>
        <v>23.436</v>
      </c>
      <c r="L15" s="29">
        <f>34*0.868</f>
        <v>29.512</v>
      </c>
      <c r="M15" s="17"/>
      <c r="N15" s="17"/>
      <c r="O15" s="17"/>
      <c r="P15" s="29"/>
      <c r="Q15" s="17"/>
      <c r="R15" s="17"/>
      <c r="S15" s="17"/>
      <c r="T15" s="29"/>
      <c r="U15" s="5"/>
      <c r="V15" s="5"/>
      <c r="W15" s="5"/>
      <c r="X15" s="5"/>
      <c r="Y15" s="17"/>
      <c r="Z15" s="17"/>
      <c r="AA15" s="17"/>
      <c r="AB15" s="17"/>
    </row>
    <row r="16" spans="1:31">
      <c r="A16" s="29" t="s">
        <v>119</v>
      </c>
      <c r="B16" s="5"/>
      <c r="C16" s="17"/>
      <c r="D16" s="17"/>
      <c r="E16" s="17"/>
      <c r="F16" s="5"/>
      <c r="G16" s="17"/>
      <c r="H16" s="17"/>
      <c r="I16" s="17"/>
      <c r="J16" s="17"/>
      <c r="K16" s="17"/>
      <c r="L16" s="29"/>
      <c r="M16" s="17">
        <f>AVERAGE(0.0016,0.003)*1000</f>
        <v>2.2999999999999998</v>
      </c>
      <c r="N16" s="17"/>
      <c r="O16" s="17"/>
      <c r="P16" s="29"/>
      <c r="Q16" s="17">
        <f>8.58*0.868</f>
        <v>7.4474400000000003</v>
      </c>
      <c r="R16" s="17"/>
      <c r="S16" s="17"/>
      <c r="T16" s="29"/>
      <c r="U16" s="5"/>
      <c r="V16" s="5"/>
      <c r="W16" s="5"/>
      <c r="X16" s="5"/>
      <c r="Y16" s="17"/>
      <c r="Z16" s="17"/>
      <c r="AA16" s="17"/>
      <c r="AB16" s="17"/>
    </row>
    <row r="17" spans="1:31">
      <c r="A17" s="29" t="s">
        <v>122</v>
      </c>
      <c r="B17" s="5"/>
      <c r="C17" s="17"/>
      <c r="D17" s="17"/>
      <c r="E17" s="17"/>
      <c r="F17" s="5"/>
      <c r="G17" s="17"/>
      <c r="H17" s="17"/>
      <c r="I17" s="17"/>
      <c r="J17" s="17"/>
      <c r="K17" s="17"/>
      <c r="L17" s="29"/>
      <c r="M17" s="17">
        <f>0.0018*1000</f>
        <v>1.8</v>
      </c>
      <c r="N17" s="17"/>
      <c r="O17" s="17"/>
      <c r="P17" s="29"/>
      <c r="Q17" s="17">
        <f>1.9*0.868</f>
        <v>1.6492</v>
      </c>
      <c r="R17" s="17"/>
      <c r="S17" s="17"/>
      <c r="T17" s="29"/>
      <c r="U17" s="5"/>
      <c r="V17" s="5"/>
      <c r="W17" s="5"/>
      <c r="X17" s="5"/>
      <c r="Y17" s="17" t="s">
        <v>65</v>
      </c>
      <c r="Z17" s="17">
        <v>0</v>
      </c>
      <c r="AA17" s="17">
        <v>0</v>
      </c>
      <c r="AB17" s="17">
        <v>0</v>
      </c>
    </row>
    <row r="18" spans="1:31">
      <c r="A18" s="29" t="s">
        <v>20</v>
      </c>
      <c r="B18" s="5"/>
      <c r="C18" s="17"/>
      <c r="D18" s="17"/>
      <c r="E18" s="17"/>
      <c r="F18" s="5"/>
      <c r="G18" s="17"/>
      <c r="H18" s="17"/>
      <c r="I18" s="17"/>
      <c r="J18" s="17"/>
      <c r="K18" s="17"/>
      <c r="L18" s="29"/>
      <c r="M18" s="17"/>
      <c r="N18" s="17"/>
      <c r="O18" s="17"/>
      <c r="P18" s="29"/>
      <c r="Q18" s="17"/>
      <c r="R18" s="17"/>
      <c r="S18" s="17"/>
      <c r="T18" s="29"/>
      <c r="U18" s="5"/>
      <c r="V18" s="5"/>
      <c r="W18" s="5"/>
      <c r="X18" s="5"/>
      <c r="Y18" s="17"/>
      <c r="Z18" s="17"/>
      <c r="AA18" s="17"/>
      <c r="AB18" s="17"/>
    </row>
    <row r="19" spans="1:31">
      <c r="A19" s="29"/>
      <c r="B19" s="5"/>
      <c r="C19" s="17"/>
      <c r="D19" s="17"/>
      <c r="E19" s="17"/>
      <c r="F19" s="5"/>
      <c r="G19" s="17"/>
      <c r="H19" s="17"/>
      <c r="I19" s="17"/>
      <c r="J19" s="17"/>
      <c r="K19" s="17"/>
      <c r="L19" s="29"/>
      <c r="M19" s="17"/>
      <c r="N19" s="17"/>
      <c r="O19" s="17"/>
      <c r="P19" s="29"/>
      <c r="Q19" s="17"/>
      <c r="R19" s="17"/>
      <c r="S19" s="17"/>
      <c r="T19" s="29"/>
      <c r="U19" s="5"/>
      <c r="V19" s="5"/>
      <c r="W19" s="5"/>
      <c r="X19" s="5"/>
      <c r="Y19" s="17"/>
      <c r="Z19" s="17"/>
      <c r="AA19" s="17"/>
      <c r="AB19" s="17"/>
    </row>
    <row r="20" spans="1:31">
      <c r="A20" s="51" t="s">
        <v>16</v>
      </c>
      <c r="B20" s="34"/>
      <c r="C20" s="17"/>
      <c r="D20" s="17"/>
      <c r="E20" s="17"/>
      <c r="F20" s="5"/>
      <c r="G20" s="17"/>
      <c r="H20" s="17"/>
      <c r="I20" s="17"/>
      <c r="J20" s="17"/>
      <c r="K20" s="17"/>
      <c r="L20" s="29"/>
      <c r="M20" s="17"/>
      <c r="N20" s="17"/>
      <c r="O20" s="17"/>
      <c r="P20" s="29"/>
      <c r="Q20" s="17"/>
      <c r="R20" s="17"/>
      <c r="S20" s="17"/>
      <c r="T20" s="29"/>
      <c r="U20" s="5"/>
      <c r="V20" s="5"/>
      <c r="W20" s="5"/>
      <c r="X20" s="5"/>
      <c r="Y20" s="17"/>
      <c r="Z20" s="17"/>
      <c r="AA20" s="17"/>
      <c r="AB20" s="17"/>
    </row>
    <row r="21" spans="1:31">
      <c r="A21" s="29" t="s">
        <v>17</v>
      </c>
      <c r="B21" s="5"/>
      <c r="C21" s="17"/>
      <c r="D21" s="17"/>
      <c r="E21" s="17"/>
      <c r="F21" s="5"/>
      <c r="G21" s="17"/>
      <c r="H21" s="17"/>
      <c r="I21" s="17"/>
      <c r="J21" s="17"/>
      <c r="K21" s="17"/>
      <c r="L21" s="29"/>
      <c r="M21" s="17"/>
      <c r="N21" s="17"/>
      <c r="O21" s="17"/>
      <c r="P21" s="29"/>
      <c r="Q21" s="17"/>
      <c r="R21" s="17"/>
      <c r="S21" s="17"/>
      <c r="T21" s="29"/>
      <c r="U21" s="5"/>
      <c r="V21" s="5"/>
      <c r="W21" s="5"/>
      <c r="X21" s="5"/>
      <c r="Y21" s="17" t="s">
        <v>67</v>
      </c>
      <c r="Z21" s="17">
        <v>0.3</v>
      </c>
      <c r="AA21" s="17">
        <v>0.2</v>
      </c>
      <c r="AB21" s="17">
        <v>0.5</v>
      </c>
      <c r="AD21">
        <v>0</v>
      </c>
      <c r="AE21">
        <v>2.4E-2</v>
      </c>
    </row>
    <row r="22" spans="1:31">
      <c r="A22" s="29" t="s">
        <v>36</v>
      </c>
      <c r="B22" s="5"/>
      <c r="C22" s="17">
        <v>7</v>
      </c>
      <c r="D22" s="17">
        <v>1</v>
      </c>
      <c r="E22" s="17">
        <v>1</v>
      </c>
      <c r="F22" s="5">
        <v>1</v>
      </c>
      <c r="G22" s="5">
        <v>5</v>
      </c>
      <c r="H22" s="5">
        <v>1</v>
      </c>
      <c r="I22" s="17"/>
      <c r="J22" s="17"/>
      <c r="K22" s="17"/>
      <c r="L22" s="29"/>
      <c r="M22" s="17">
        <v>7</v>
      </c>
      <c r="N22" s="17"/>
      <c r="O22" s="17"/>
      <c r="P22" s="29"/>
      <c r="Q22" s="17">
        <v>9.8000000000000007</v>
      </c>
      <c r="R22" s="17"/>
      <c r="S22" s="17"/>
      <c r="T22" s="29"/>
      <c r="U22" s="5">
        <v>5.75</v>
      </c>
      <c r="V22" s="5">
        <f>9/12</f>
        <v>0.75</v>
      </c>
      <c r="W22" s="5">
        <v>1</v>
      </c>
      <c r="X22" s="5">
        <v>1</v>
      </c>
      <c r="Y22" s="17">
        <v>5</v>
      </c>
      <c r="Z22" s="17">
        <v>0.5</v>
      </c>
      <c r="AA22" s="17">
        <v>1</v>
      </c>
      <c r="AB22" s="17">
        <v>1.5</v>
      </c>
      <c r="AD22">
        <v>0.1</v>
      </c>
      <c r="AE22">
        <v>1</v>
      </c>
    </row>
    <row r="23" spans="1:31">
      <c r="A23" s="29" t="s">
        <v>37</v>
      </c>
      <c r="B23" s="5"/>
      <c r="C23" s="17">
        <v>60</v>
      </c>
      <c r="D23" s="17">
        <v>25</v>
      </c>
      <c r="E23" s="17">
        <v>25</v>
      </c>
      <c r="F23" s="5">
        <v>25</v>
      </c>
      <c r="G23" s="5">
        <v>80</v>
      </c>
      <c r="H23" s="5">
        <v>10</v>
      </c>
      <c r="I23" s="17"/>
      <c r="J23" s="17"/>
      <c r="K23" s="17"/>
      <c r="L23" s="29"/>
      <c r="M23" s="17"/>
      <c r="N23" s="17"/>
      <c r="O23" s="17"/>
      <c r="P23" s="29"/>
      <c r="Q23" s="17">
        <v>60</v>
      </c>
      <c r="R23" s="17"/>
      <c r="S23" s="17"/>
      <c r="T23" s="29"/>
      <c r="U23" s="5">
        <v>40</v>
      </c>
      <c r="V23" s="5">
        <v>30</v>
      </c>
      <c r="W23" s="5">
        <v>20</v>
      </c>
      <c r="X23" s="5">
        <v>20</v>
      </c>
      <c r="Y23" s="17">
        <v>60</v>
      </c>
      <c r="Z23" s="17">
        <v>25</v>
      </c>
      <c r="AA23" s="17">
        <v>25</v>
      </c>
      <c r="AB23" s="17">
        <v>20</v>
      </c>
      <c r="AD23">
        <v>10</v>
      </c>
      <c r="AE23">
        <v>25</v>
      </c>
    </row>
    <row r="24" spans="1:31">
      <c r="A24" s="54"/>
      <c r="B24" s="56"/>
      <c r="C24" s="17"/>
      <c r="D24" s="17"/>
      <c r="E24" s="17"/>
      <c r="F24" s="5"/>
      <c r="G24" s="17"/>
      <c r="H24" s="17"/>
      <c r="I24" s="17"/>
      <c r="J24" s="17"/>
      <c r="K24" s="17"/>
      <c r="L24" s="29"/>
      <c r="M24" s="17"/>
      <c r="N24" s="17"/>
      <c r="O24" s="17"/>
      <c r="P24" s="29"/>
      <c r="Q24" s="17"/>
      <c r="R24" s="17"/>
      <c r="S24" s="17"/>
      <c r="T24" s="29"/>
      <c r="U24" s="5"/>
      <c r="V24" s="5"/>
      <c r="W24" s="5"/>
      <c r="X24" s="5"/>
      <c r="Y24" s="17"/>
      <c r="Z24" s="17"/>
      <c r="AA24" s="17"/>
      <c r="AB24" s="17"/>
    </row>
    <row r="25" spans="1:31">
      <c r="A25" s="29"/>
      <c r="B25" s="5"/>
      <c r="C25" s="17"/>
      <c r="D25" s="17"/>
      <c r="E25" s="17"/>
      <c r="F25" s="5"/>
      <c r="G25" s="17"/>
      <c r="H25" s="17"/>
      <c r="I25" s="17"/>
      <c r="J25" s="17"/>
      <c r="K25" s="17"/>
      <c r="L25" s="29"/>
      <c r="M25" s="17"/>
      <c r="N25" s="17"/>
      <c r="O25" s="17"/>
      <c r="P25" s="29"/>
      <c r="Q25" s="17"/>
      <c r="R25" s="17"/>
      <c r="S25" s="17"/>
      <c r="T25" s="29"/>
      <c r="U25" s="5"/>
      <c r="V25" s="5"/>
      <c r="W25" s="5"/>
      <c r="X25" s="5"/>
      <c r="Y25" s="17"/>
      <c r="Z25" s="17"/>
      <c r="AA25" s="17"/>
      <c r="AB25" s="17"/>
    </row>
    <row r="26" spans="1:31">
      <c r="A26" s="4" t="s">
        <v>5</v>
      </c>
      <c r="C26" t="s">
        <v>7</v>
      </c>
      <c r="I26" t="s">
        <v>29</v>
      </c>
      <c r="M26" t="s">
        <v>32</v>
      </c>
    </row>
    <row r="27" spans="1:31">
      <c r="A27" s="4" t="s">
        <v>6</v>
      </c>
      <c r="C27" t="s">
        <v>8</v>
      </c>
      <c r="I27" t="s">
        <v>30</v>
      </c>
      <c r="M27" s="17" t="s">
        <v>33</v>
      </c>
      <c r="Q27" t="s">
        <v>46</v>
      </c>
      <c r="U27" s="2" t="s">
        <v>116</v>
      </c>
    </row>
    <row r="28" spans="1:31">
      <c r="A28" s="4" t="s">
        <v>24</v>
      </c>
      <c r="C28" t="s">
        <v>25</v>
      </c>
    </row>
    <row r="32" spans="1:31">
      <c r="D32" t="s">
        <v>90</v>
      </c>
    </row>
    <row r="33" spans="4:4">
      <c r="D33" t="s">
        <v>91</v>
      </c>
    </row>
    <row r="34" spans="4:4">
      <c r="D34" t="s">
        <v>92</v>
      </c>
    </row>
    <row r="35" spans="4:4">
      <c r="D35" t="s">
        <v>93</v>
      </c>
    </row>
  </sheetData>
  <mergeCells count="5">
    <mergeCell ref="C1:F1"/>
    <mergeCell ref="I1:L1"/>
    <mergeCell ref="M1:P1"/>
    <mergeCell ref="Q1:T1"/>
    <mergeCell ref="Y1:A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3"/>
  <sheetViews>
    <sheetView zoomScale="98" workbookViewId="0"/>
  </sheetViews>
  <sheetFormatPr baseColWidth="10" defaultRowHeight="16"/>
  <cols>
    <col min="1" max="1" width="57.83203125" bestFit="1" customWidth="1"/>
    <col min="7" max="7" width="12.5" bestFit="1" customWidth="1"/>
  </cols>
  <sheetData>
    <row r="1" spans="1:12" s="36" customFormat="1">
      <c r="A1" s="35" t="s">
        <v>141</v>
      </c>
      <c r="B1" s="37"/>
      <c r="G1" s="39"/>
    </row>
    <row r="2" spans="1:12" s="36" customFormat="1">
      <c r="A2" s="37"/>
      <c r="B2" s="37"/>
    </row>
    <row r="3" spans="1:12" s="36" customFormat="1">
      <c r="A3" s="40" t="s">
        <v>9</v>
      </c>
      <c r="B3" s="36" t="s">
        <v>1</v>
      </c>
      <c r="C3" s="36" t="s">
        <v>2</v>
      </c>
      <c r="D3" s="36" t="s">
        <v>3</v>
      </c>
      <c r="E3" s="37" t="s">
        <v>4</v>
      </c>
      <c r="F3" s="37"/>
      <c r="G3" s="37"/>
      <c r="H3" s="37"/>
    </row>
    <row r="4" spans="1:12" s="36" customFormat="1">
      <c r="A4" s="41" t="s">
        <v>125</v>
      </c>
      <c r="B4" s="37">
        <v>1</v>
      </c>
      <c r="C4" s="37">
        <v>1</v>
      </c>
      <c r="D4" s="37">
        <v>1</v>
      </c>
      <c r="E4" s="37">
        <v>1</v>
      </c>
    </row>
    <row r="5" spans="1:12" s="36" customFormat="1">
      <c r="A5" s="41" t="s">
        <v>126</v>
      </c>
      <c r="B5" s="37">
        <v>1</v>
      </c>
      <c r="C5" s="37">
        <v>1</v>
      </c>
      <c r="D5" s="37">
        <v>1</v>
      </c>
      <c r="E5" s="37">
        <v>1</v>
      </c>
    </row>
    <row r="6" spans="1:12" s="36" customFormat="1">
      <c r="A6" s="41" t="s">
        <v>127</v>
      </c>
      <c r="B6" s="37">
        <v>1</v>
      </c>
      <c r="C6" s="37">
        <v>1</v>
      </c>
      <c r="D6" s="37">
        <v>1</v>
      </c>
      <c r="E6" s="37">
        <v>1</v>
      </c>
    </row>
    <row r="7" spans="1:12" s="36" customFormat="1">
      <c r="A7" s="41"/>
      <c r="B7" s="37"/>
      <c r="C7" s="37"/>
      <c r="D7" s="37"/>
      <c r="E7" s="37"/>
      <c r="G7" s="39"/>
    </row>
    <row r="8" spans="1:12" s="36" customFormat="1">
      <c r="A8" s="40" t="s">
        <v>14</v>
      </c>
      <c r="B8" s="37"/>
      <c r="C8" s="37"/>
      <c r="D8" s="37"/>
      <c r="E8" s="37"/>
    </row>
    <row r="9" spans="1:12" s="36" customFormat="1">
      <c r="A9" s="41" t="s">
        <v>128</v>
      </c>
      <c r="B9" s="37">
        <v>1</v>
      </c>
      <c r="C9" s="37">
        <v>1</v>
      </c>
      <c r="D9" s="37">
        <v>1</v>
      </c>
      <c r="E9" s="37">
        <v>1</v>
      </c>
      <c r="I9" s="37"/>
      <c r="J9" s="37"/>
      <c r="K9" s="37"/>
      <c r="L9" s="37"/>
    </row>
    <row r="10" spans="1:12" s="36" customFormat="1">
      <c r="A10" s="41" t="s">
        <v>166</v>
      </c>
      <c r="B10" s="37">
        <v>1</v>
      </c>
      <c r="C10" s="37">
        <v>1</v>
      </c>
      <c r="D10" s="37">
        <v>1</v>
      </c>
      <c r="E10" s="37">
        <v>1</v>
      </c>
      <c r="I10" s="37"/>
      <c r="J10" s="37"/>
      <c r="K10" s="37"/>
      <c r="L10" s="37"/>
    </row>
    <row r="11" spans="1:12" s="36" customFormat="1">
      <c r="A11" s="41" t="s">
        <v>135</v>
      </c>
      <c r="B11" s="42">
        <v>1</v>
      </c>
      <c r="C11" s="42">
        <v>1</v>
      </c>
      <c r="D11" s="42">
        <v>1</v>
      </c>
      <c r="E11" s="42">
        <v>1</v>
      </c>
      <c r="I11" s="42"/>
      <c r="J11" s="42"/>
      <c r="K11" s="42"/>
      <c r="L11" s="42"/>
    </row>
    <row r="12" spans="1:12" s="36" customFormat="1">
      <c r="A12" s="41" t="s">
        <v>129</v>
      </c>
      <c r="B12" s="37">
        <v>1</v>
      </c>
      <c r="C12" s="37">
        <v>1</v>
      </c>
      <c r="D12" s="37">
        <v>1</v>
      </c>
      <c r="E12" s="37">
        <v>1</v>
      </c>
      <c r="I12" s="37"/>
      <c r="J12" s="37"/>
      <c r="K12" s="37"/>
      <c r="L12" s="37"/>
    </row>
    <row r="13" spans="1:12" s="36" customFormat="1">
      <c r="A13" s="41" t="s">
        <v>130</v>
      </c>
      <c r="B13" s="37">
        <v>1</v>
      </c>
      <c r="C13" s="37">
        <v>1</v>
      </c>
      <c r="D13" s="37">
        <v>1</v>
      </c>
      <c r="E13" s="37">
        <v>1</v>
      </c>
      <c r="I13" s="37"/>
      <c r="J13" s="37"/>
      <c r="K13" s="37"/>
      <c r="L13" s="37"/>
    </row>
    <row r="14" spans="1:12" s="36" customFormat="1">
      <c r="A14" s="41" t="s">
        <v>131</v>
      </c>
      <c r="B14" s="37">
        <v>1</v>
      </c>
      <c r="C14" s="37">
        <v>1</v>
      </c>
      <c r="D14" s="37">
        <v>1</v>
      </c>
      <c r="E14" s="37">
        <v>1</v>
      </c>
      <c r="I14" s="37"/>
      <c r="J14" s="37"/>
      <c r="K14" s="37"/>
      <c r="L14" s="37"/>
    </row>
    <row r="15" spans="1:12" s="36" customFormat="1">
      <c r="A15" s="41" t="s">
        <v>132</v>
      </c>
      <c r="B15" s="37">
        <v>1</v>
      </c>
      <c r="C15" s="37">
        <v>1</v>
      </c>
      <c r="D15" s="37">
        <v>1</v>
      </c>
      <c r="E15" s="37">
        <v>1</v>
      </c>
      <c r="I15" s="37"/>
      <c r="J15" s="37"/>
      <c r="K15" s="37"/>
      <c r="L15" s="37"/>
    </row>
    <row r="16" spans="1:12" s="36" customFormat="1">
      <c r="A16" s="41" t="s">
        <v>133</v>
      </c>
      <c r="B16" s="37">
        <v>1</v>
      </c>
      <c r="C16" s="37">
        <v>1</v>
      </c>
      <c r="D16" s="37">
        <v>1</v>
      </c>
      <c r="E16" s="37">
        <v>1</v>
      </c>
      <c r="I16" s="37"/>
      <c r="J16" s="37"/>
      <c r="K16" s="37"/>
      <c r="L16" s="37"/>
    </row>
    <row r="17" spans="1:12" s="36" customFormat="1">
      <c r="A17" s="41" t="s">
        <v>134</v>
      </c>
      <c r="B17" s="37">
        <v>1</v>
      </c>
      <c r="C17" s="37">
        <v>1</v>
      </c>
      <c r="D17" s="37">
        <v>1</v>
      </c>
      <c r="E17" s="37">
        <v>1</v>
      </c>
      <c r="I17" s="37"/>
      <c r="J17" s="37"/>
      <c r="K17" s="37"/>
      <c r="L17" s="37"/>
    </row>
    <row r="18" spans="1:12" s="36" customFormat="1">
      <c r="A18" s="43"/>
      <c r="B18" s="37"/>
      <c r="C18" s="37"/>
      <c r="D18" s="37"/>
      <c r="E18" s="37"/>
    </row>
    <row r="19" spans="1:12" s="36" customFormat="1">
      <c r="A19" s="44" t="s">
        <v>136</v>
      </c>
    </row>
    <row r="20" spans="1:12" s="36" customFormat="1">
      <c r="A20" s="43" t="s">
        <v>140</v>
      </c>
      <c r="B20" s="36">
        <v>120</v>
      </c>
      <c r="C20" s="36" t="s">
        <v>201</v>
      </c>
      <c r="D20" s="36" t="s">
        <v>202</v>
      </c>
    </row>
    <row r="21" spans="1:12" s="36" customFormat="1">
      <c r="A21" s="43" t="s">
        <v>157</v>
      </c>
      <c r="B21" s="36">
        <v>0.12</v>
      </c>
      <c r="C21" s="36" t="s">
        <v>199</v>
      </c>
      <c r="D21" s="36" t="s">
        <v>200</v>
      </c>
    </row>
    <row r="22" spans="1:12" s="36" customFormat="1"/>
    <row r="23" spans="1:12" s="36" customFormat="1">
      <c r="A23" s="44" t="s">
        <v>145</v>
      </c>
      <c r="E23" s="36">
        <f>0.035/0.07</f>
        <v>0.5</v>
      </c>
    </row>
    <row r="24" spans="1:12" s="36" customFormat="1">
      <c r="A24" s="36" t="s">
        <v>137</v>
      </c>
      <c r="B24" s="36">
        <v>150</v>
      </c>
    </row>
    <row r="25" spans="1:12" s="36" customFormat="1">
      <c r="A25" s="36" t="s">
        <v>138</v>
      </c>
      <c r="B25" s="36">
        <v>200</v>
      </c>
    </row>
    <row r="26" spans="1:12" s="36" customFormat="1">
      <c r="A26" s="36" t="s">
        <v>139</v>
      </c>
      <c r="B26" s="36">
        <v>100</v>
      </c>
    </row>
    <row r="27" spans="1:12" s="36" customFormat="1"/>
    <row r="28" spans="1:12" s="36" customFormat="1">
      <c r="A28" s="39" t="s">
        <v>15</v>
      </c>
    </row>
    <row r="29" spans="1:12" s="36" customFormat="1">
      <c r="A29" s="36" t="s">
        <v>154</v>
      </c>
      <c r="B29" s="36">
        <v>0.1</v>
      </c>
      <c r="C29" s="36">
        <v>0.3</v>
      </c>
      <c r="D29" s="36">
        <v>0.3</v>
      </c>
      <c r="E29" s="36">
        <v>0.3</v>
      </c>
    </row>
    <row r="30" spans="1:12" s="36" customFormat="1"/>
    <row r="31" spans="1:12" s="36" customFormat="1"/>
    <row r="32" spans="1:12" s="36" customFormat="1"/>
    <row r="33" s="36" customFormat="1"/>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'Standardized cost in reports'!$B$14:$B$15</xm:f>
          </x14:formula1>
          <xm:sqref>B29:E29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
  <sheetViews>
    <sheetView workbookViewId="0">
      <selection activeCell="I19" sqref="I19"/>
    </sheetView>
  </sheetViews>
  <sheetFormatPr baseColWidth="10" defaultRowHeight="16"/>
  <sheetData>
    <row r="1" spans="1:6">
      <c r="B1" t="s">
        <v>184</v>
      </c>
      <c r="C1" t="s">
        <v>188</v>
      </c>
      <c r="D1" t="s">
        <v>185</v>
      </c>
      <c r="E1" t="s">
        <v>186</v>
      </c>
      <c r="F1" t="s">
        <v>187</v>
      </c>
    </row>
    <row r="2" spans="1:6">
      <c r="A2" t="s">
        <v>176</v>
      </c>
      <c r="B2">
        <v>13.7</v>
      </c>
    </row>
    <row r="3" spans="1:6">
      <c r="A3" t="s">
        <v>177</v>
      </c>
      <c r="B3">
        <v>3</v>
      </c>
    </row>
    <row r="4" spans="1:6">
      <c r="A4" t="s">
        <v>178</v>
      </c>
      <c r="B4">
        <v>12.8</v>
      </c>
    </row>
    <row r="5" spans="1:6">
      <c r="A5" t="s">
        <v>179</v>
      </c>
      <c r="B5">
        <v>4.7</v>
      </c>
    </row>
    <row r="6" spans="1:6">
      <c r="A6" t="s">
        <v>180</v>
      </c>
      <c r="B6">
        <v>12.2</v>
      </c>
    </row>
    <row r="7" spans="1:6">
      <c r="A7" t="s">
        <v>181</v>
      </c>
      <c r="B7">
        <v>3.3</v>
      </c>
    </row>
    <row r="8" spans="1:6">
      <c r="A8" t="s">
        <v>182</v>
      </c>
      <c r="B8">
        <v>34.4</v>
      </c>
    </row>
    <row r="9" spans="1:6">
      <c r="A9" t="s">
        <v>183</v>
      </c>
      <c r="B9">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Cost model</vt:lpstr>
      <vt:lpstr>LCOH, LCOS</vt:lpstr>
      <vt:lpstr>LCOE parameters</vt:lpstr>
      <vt:lpstr>Cost types in reports</vt:lpstr>
      <vt:lpstr>Costs in reports</vt:lpstr>
      <vt:lpstr>Standardized cost in reports</vt:lpstr>
      <vt:lpstr>Assumptions</vt:lpstr>
      <vt:lpstr>System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Tuuli Tiihonen</dc:creator>
  <cp:lastModifiedBy>John Kerkhoven</cp:lastModifiedBy>
  <dcterms:created xsi:type="dcterms:W3CDTF">2019-12-15T14:17:35Z</dcterms:created>
  <dcterms:modified xsi:type="dcterms:W3CDTF">2020-02-16T14:26:55Z</dcterms:modified>
</cp:coreProperties>
</file>